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88F64A13-45C9-4B62-ADC2-B7E0342312B2}" xr6:coauthVersionLast="36" xr6:coauthVersionMax="36" xr10:uidLastSave="{00000000-0000-0000-0000-000000000000}"/>
  <bookViews>
    <workbookView xWindow="0" yWindow="0" windowWidth="19995" windowHeight="11460"/>
  </bookViews>
  <sheets>
    <sheet name="2_ΚΑΤ_ΤΕ ΝΟΣΗΛΕΥΤΙΚΗΣ (Θ.720-72" sheetId="1" r:id="rId1"/>
    <sheet name="ΨΥΧΩ 25 ΝΟΕΜΒΡΗ ΧΕ" sheetId="2" r:id="rId2"/>
  </sheets>
  <definedNames>
    <definedName name="_xlnm._FilterDatabase" localSheetId="0" hidden="1">'2_ΚΑΤ_ΤΕ ΝΟΣΗΛΕΥΤΙΚΗΣ (Θ.720-72'!$A$7:$F$2105</definedName>
  </definedNames>
  <calcPr calcId="191029"/>
</workbook>
</file>

<file path=xl/calcChain.xml><?xml version="1.0" encoding="utf-8"?>
<calcChain xmlns="http://schemas.openxmlformats.org/spreadsheetml/2006/main">
  <c r="H2106" i="2" l="1"/>
  <c r="H2104" i="2"/>
  <c r="H2102" i="2"/>
  <c r="H2100" i="2"/>
  <c r="H2098" i="2"/>
  <c r="H2096" i="2"/>
  <c r="H2094" i="2"/>
  <c r="H2092" i="2"/>
  <c r="H2090" i="2"/>
  <c r="H2088" i="2"/>
  <c r="H2086" i="2"/>
  <c r="H2084" i="2"/>
  <c r="H2082" i="2"/>
  <c r="H2080" i="2"/>
  <c r="H2078" i="2"/>
  <c r="H2076" i="2"/>
  <c r="H2074" i="2"/>
  <c r="H2072" i="2"/>
  <c r="H2070" i="2"/>
  <c r="H2068" i="2"/>
  <c r="H2066" i="2"/>
  <c r="H2064" i="2"/>
  <c r="H2062" i="2"/>
  <c r="H2060" i="2"/>
  <c r="H2058" i="2"/>
  <c r="H2056" i="2"/>
  <c r="H2054" i="2"/>
  <c r="H2052" i="2"/>
  <c r="H2050" i="2"/>
  <c r="H2048" i="2"/>
  <c r="H2046" i="2"/>
  <c r="H2044" i="2"/>
  <c r="H2042" i="2"/>
  <c r="H2040" i="2"/>
  <c r="H2038" i="2"/>
  <c r="H2036" i="2"/>
  <c r="H2034" i="2"/>
  <c r="H2032" i="2"/>
  <c r="H2030" i="2"/>
  <c r="H2028" i="2"/>
  <c r="H2026" i="2"/>
  <c r="H2024" i="2"/>
  <c r="H2022" i="2"/>
  <c r="H2020" i="2"/>
  <c r="H2018" i="2"/>
  <c r="H2016" i="2"/>
  <c r="H2014" i="2"/>
  <c r="H2012" i="2"/>
  <c r="H2010" i="2"/>
  <c r="H2008" i="2"/>
  <c r="H2006" i="2"/>
  <c r="H2004" i="2"/>
  <c r="H2002" i="2"/>
  <c r="H2000" i="2"/>
  <c r="H1998" i="2"/>
  <c r="H1996" i="2"/>
  <c r="H1994" i="2"/>
  <c r="H1992" i="2"/>
  <c r="H1990" i="2"/>
  <c r="H1988" i="2"/>
  <c r="H1986" i="2"/>
  <c r="H1984" i="2"/>
  <c r="H1982" i="2"/>
  <c r="H1980" i="2"/>
  <c r="H1978" i="2"/>
  <c r="H1976" i="2"/>
  <c r="H1974" i="2"/>
  <c r="H1972" i="2"/>
  <c r="H1970" i="2"/>
  <c r="H1968" i="2"/>
  <c r="H1966" i="2"/>
  <c r="H1964" i="2"/>
  <c r="H1962" i="2"/>
  <c r="H1960" i="2"/>
  <c r="H1958" i="2"/>
  <c r="H1956" i="2"/>
  <c r="H1954" i="2"/>
  <c r="H1952" i="2"/>
  <c r="H1950" i="2"/>
  <c r="H1948" i="2"/>
  <c r="H1946" i="2"/>
  <c r="H1944" i="2"/>
  <c r="H1942" i="2"/>
  <c r="H1940" i="2"/>
  <c r="H1938" i="2"/>
  <c r="H1936" i="2"/>
  <c r="H1934" i="2"/>
  <c r="H1932" i="2"/>
  <c r="H1930" i="2"/>
  <c r="H1928" i="2"/>
  <c r="H1926" i="2"/>
  <c r="H1924" i="2"/>
  <c r="H1922" i="2"/>
  <c r="H1920" i="2"/>
  <c r="H1918" i="2"/>
  <c r="H1916" i="2"/>
  <c r="H1914" i="2"/>
  <c r="H1912" i="2"/>
  <c r="H1910" i="2"/>
  <c r="H1908" i="2"/>
  <c r="H1906" i="2"/>
  <c r="H1904" i="2"/>
  <c r="H1902" i="2"/>
  <c r="H1900" i="2"/>
  <c r="H1898" i="2"/>
  <c r="H1896" i="2"/>
  <c r="H1894" i="2"/>
  <c r="H1892" i="2"/>
  <c r="H1890" i="2"/>
  <c r="H1888" i="2"/>
  <c r="H1886" i="2"/>
  <c r="H1884" i="2"/>
  <c r="H1882" i="2"/>
  <c r="H1880" i="2"/>
  <c r="H1878" i="2"/>
  <c r="H1876" i="2"/>
  <c r="H1874" i="2"/>
  <c r="H1872" i="2"/>
  <c r="H1870" i="2"/>
  <c r="H1868" i="2"/>
  <c r="H1866" i="2"/>
  <c r="H1864" i="2"/>
  <c r="H1862" i="2"/>
  <c r="H1860" i="2"/>
  <c r="H1858" i="2"/>
  <c r="H1856" i="2"/>
  <c r="H1854" i="2"/>
  <c r="H1852" i="2"/>
  <c r="H1850" i="2"/>
  <c r="H1848" i="2"/>
  <c r="H1846" i="2"/>
  <c r="H1844" i="2"/>
  <c r="H1842" i="2"/>
  <c r="H1840" i="2"/>
  <c r="H1838" i="2"/>
  <c r="H1836" i="2"/>
  <c r="H1834" i="2"/>
  <c r="H1832" i="2"/>
  <c r="H1830" i="2"/>
  <c r="H1828" i="2"/>
  <c r="H1826" i="2"/>
  <c r="H1824" i="2"/>
  <c r="H1822" i="2"/>
  <c r="H1820" i="2"/>
  <c r="H1818" i="2"/>
  <c r="H1816" i="2"/>
  <c r="H1814" i="2"/>
  <c r="H1812" i="2"/>
  <c r="H1810" i="2"/>
  <c r="H1808" i="2"/>
  <c r="H1806" i="2"/>
  <c r="H1804" i="2"/>
  <c r="H1802" i="2"/>
  <c r="H1800" i="2"/>
  <c r="H1798" i="2"/>
  <c r="H1796" i="2"/>
  <c r="H1794" i="2"/>
  <c r="H1792" i="2"/>
  <c r="H1790" i="2"/>
  <c r="H1788" i="2"/>
  <c r="H1786" i="2"/>
  <c r="H1784" i="2"/>
  <c r="H1782" i="2"/>
  <c r="H1780" i="2"/>
  <c r="H1778" i="2"/>
  <c r="H1776" i="2"/>
  <c r="H1774" i="2"/>
  <c r="H1772" i="2"/>
  <c r="H1770" i="2"/>
  <c r="H1768" i="2"/>
  <c r="H1766" i="2"/>
  <c r="H1764" i="2"/>
  <c r="H1762" i="2"/>
  <c r="H1760" i="2"/>
  <c r="H1758" i="2"/>
  <c r="H1756" i="2"/>
  <c r="H1754" i="2"/>
  <c r="H1752" i="2"/>
  <c r="H1750" i="2"/>
  <c r="H1748" i="2"/>
  <c r="H1746" i="2"/>
  <c r="H1744" i="2"/>
  <c r="H1742" i="2"/>
  <c r="H1740" i="2"/>
  <c r="H1738" i="2"/>
  <c r="H1736" i="2"/>
  <c r="H1734" i="2"/>
  <c r="H1732" i="2"/>
  <c r="H1730" i="2"/>
  <c r="H1728" i="2"/>
  <c r="H1726" i="2"/>
  <c r="H1724" i="2"/>
  <c r="H1722" i="2"/>
  <c r="H1720" i="2"/>
  <c r="H1718" i="2"/>
  <c r="H1716" i="2"/>
  <c r="H1714" i="2"/>
  <c r="H1712" i="2"/>
  <c r="H1710" i="2"/>
  <c r="H1708" i="2"/>
  <c r="H1706" i="2"/>
  <c r="H1704" i="2"/>
  <c r="H1702" i="2"/>
  <c r="H1700" i="2"/>
  <c r="H1698" i="2"/>
  <c r="H1696" i="2"/>
  <c r="H1694" i="2"/>
  <c r="H1692" i="2"/>
  <c r="H1690" i="2"/>
  <c r="H1688" i="2"/>
  <c r="H1686" i="2"/>
  <c r="H1684" i="2"/>
  <c r="H1682" i="2"/>
  <c r="H1680" i="2"/>
  <c r="H1678" i="2"/>
  <c r="H1676" i="2"/>
  <c r="H1674" i="2"/>
  <c r="H1672" i="2"/>
  <c r="H1670" i="2"/>
  <c r="H1668" i="2"/>
  <c r="H1666" i="2"/>
  <c r="H1664" i="2"/>
  <c r="H1662" i="2"/>
  <c r="H1660" i="2"/>
  <c r="H1658" i="2"/>
  <c r="H1656" i="2"/>
  <c r="H1654" i="2"/>
  <c r="H1652" i="2"/>
  <c r="H1650" i="2"/>
  <c r="H1648" i="2"/>
  <c r="H1646" i="2"/>
  <c r="H1644" i="2"/>
  <c r="H1642" i="2"/>
  <c r="H1640" i="2"/>
  <c r="H1638" i="2"/>
  <c r="H1636" i="2"/>
  <c r="H1634" i="2"/>
  <c r="H1632" i="2"/>
  <c r="H1630" i="2"/>
  <c r="H1628" i="2"/>
  <c r="H1626" i="2"/>
  <c r="H1624" i="2"/>
  <c r="H1622" i="2"/>
  <c r="H1620" i="2"/>
  <c r="H1618" i="2"/>
  <c r="H1616" i="2"/>
  <c r="H1614" i="2"/>
  <c r="H1612" i="2"/>
  <c r="H1610" i="2"/>
  <c r="H1608" i="2"/>
  <c r="H1606" i="2"/>
  <c r="H1604" i="2"/>
  <c r="H1602" i="2"/>
  <c r="H1600" i="2"/>
  <c r="H1598" i="2"/>
  <c r="H1596" i="2"/>
  <c r="H1594" i="2"/>
  <c r="H1592" i="2"/>
  <c r="H1590" i="2"/>
  <c r="H1588" i="2"/>
  <c r="H1586" i="2"/>
  <c r="H1584" i="2"/>
  <c r="H1582" i="2"/>
  <c r="H1580" i="2"/>
  <c r="H1578" i="2"/>
  <c r="H1576" i="2"/>
  <c r="H1574" i="2"/>
  <c r="H1572" i="2"/>
  <c r="H1570" i="2"/>
  <c r="H1568" i="2"/>
  <c r="H1566" i="2"/>
  <c r="H1564" i="2"/>
  <c r="H1562" i="2"/>
  <c r="H1560" i="2"/>
  <c r="H1558" i="2"/>
  <c r="H1556" i="2"/>
  <c r="H1554" i="2"/>
  <c r="H1552" i="2"/>
  <c r="H1550" i="2"/>
  <c r="H1548" i="2"/>
  <c r="H1546" i="2"/>
  <c r="H1544" i="2"/>
  <c r="H1542" i="2"/>
  <c r="H1540" i="2"/>
  <c r="H1538" i="2"/>
  <c r="H1536" i="2"/>
  <c r="H1534" i="2"/>
  <c r="H1532" i="2"/>
  <c r="H1530" i="2"/>
  <c r="H1528" i="2"/>
  <c r="H1526" i="2"/>
  <c r="H1524" i="2"/>
  <c r="H1522" i="2"/>
  <c r="H1520" i="2"/>
  <c r="H1518" i="2"/>
  <c r="H1516" i="2"/>
  <c r="H1514" i="2"/>
  <c r="H1512" i="2"/>
  <c r="H1510" i="2"/>
  <c r="H1508" i="2"/>
  <c r="H1506" i="2"/>
  <c r="H1504" i="2"/>
  <c r="H1502" i="2"/>
  <c r="H1500" i="2"/>
  <c r="H1498" i="2"/>
  <c r="H1496" i="2"/>
  <c r="H1494" i="2"/>
  <c r="H1492" i="2"/>
  <c r="H1490" i="2"/>
  <c r="H1488" i="2"/>
  <c r="H1486" i="2"/>
  <c r="H1484" i="2"/>
  <c r="H1482" i="2"/>
  <c r="H1480" i="2"/>
  <c r="H1478" i="2"/>
  <c r="H1476" i="2"/>
  <c r="H1474" i="2"/>
  <c r="H1472" i="2"/>
  <c r="H1470" i="2"/>
  <c r="H1468" i="2"/>
  <c r="H1466" i="2"/>
  <c r="H1464" i="2"/>
  <c r="H1462" i="2"/>
  <c r="H1460" i="2"/>
  <c r="H1458" i="2"/>
  <c r="H1456" i="2"/>
  <c r="H1454" i="2"/>
  <c r="H1452" i="2"/>
  <c r="H1450" i="2"/>
  <c r="H1448" i="2"/>
  <c r="H1446" i="2"/>
  <c r="H1444" i="2"/>
  <c r="H1442" i="2"/>
  <c r="H1440" i="2"/>
  <c r="H1438" i="2"/>
  <c r="H1436" i="2"/>
  <c r="H1434" i="2"/>
  <c r="H1432" i="2"/>
  <c r="H1430" i="2"/>
  <c r="H1428" i="2"/>
  <c r="H1426" i="2"/>
  <c r="H1424" i="2"/>
  <c r="H1422" i="2"/>
  <c r="H1420" i="2"/>
  <c r="H1418" i="2"/>
  <c r="H1416" i="2"/>
  <c r="H1414" i="2"/>
  <c r="H1412" i="2"/>
  <c r="H1410" i="2"/>
  <c r="H1408" i="2"/>
  <c r="H1406" i="2"/>
  <c r="H1404" i="2"/>
  <c r="H1402" i="2"/>
  <c r="H1400" i="2"/>
  <c r="H1398" i="2"/>
  <c r="H1396" i="2"/>
  <c r="H1394" i="2"/>
  <c r="H1392" i="2"/>
  <c r="H1390" i="2"/>
  <c r="H1388" i="2"/>
  <c r="H1386" i="2"/>
  <c r="H1384" i="2"/>
  <c r="H1382" i="2"/>
  <c r="H1380" i="2"/>
  <c r="H1378" i="2"/>
  <c r="H1376" i="2"/>
  <c r="H1374" i="2"/>
  <c r="H1372" i="2"/>
  <c r="H1370" i="2"/>
  <c r="H1368" i="2"/>
  <c r="H1366" i="2"/>
  <c r="H1364" i="2"/>
  <c r="H1362" i="2"/>
  <c r="H1360" i="2"/>
  <c r="H1358" i="2"/>
  <c r="H1356" i="2"/>
  <c r="H1354" i="2"/>
  <c r="H1352" i="2"/>
  <c r="H1350" i="2"/>
  <c r="H1348" i="2"/>
  <c r="H1346" i="2"/>
  <c r="H1344" i="2"/>
  <c r="H1342" i="2"/>
  <c r="H1340" i="2"/>
  <c r="H1338" i="2"/>
  <c r="H1336" i="2"/>
  <c r="H1334" i="2"/>
  <c r="H1332" i="2"/>
  <c r="H1330" i="2"/>
  <c r="H1328" i="2"/>
  <c r="H1326" i="2"/>
  <c r="H1324" i="2"/>
  <c r="H1322" i="2"/>
  <c r="H1320" i="2"/>
  <c r="H1318" i="2"/>
  <c r="H1316" i="2"/>
  <c r="H1314" i="2"/>
  <c r="H1312" i="2"/>
  <c r="H1310" i="2"/>
  <c r="H1308" i="2"/>
  <c r="H1306" i="2"/>
  <c r="H1304" i="2"/>
  <c r="H1302" i="2"/>
  <c r="H1300" i="2"/>
  <c r="H1298" i="2"/>
  <c r="H1296" i="2"/>
  <c r="H1294" i="2"/>
  <c r="H1292" i="2"/>
  <c r="H1290" i="2"/>
  <c r="H1288" i="2"/>
  <c r="H1286" i="2"/>
  <c r="H1284" i="2"/>
  <c r="H1282" i="2"/>
  <c r="H1280" i="2"/>
  <c r="H1278" i="2"/>
  <c r="H1276" i="2"/>
  <c r="H1274" i="2"/>
  <c r="H1272" i="2"/>
  <c r="H1270" i="2"/>
  <c r="H1268" i="2"/>
  <c r="H1266" i="2"/>
  <c r="H1264" i="2"/>
  <c r="H1262" i="2"/>
  <c r="H1260" i="2"/>
  <c r="H1258" i="2"/>
  <c r="H1256" i="2"/>
  <c r="H1254" i="2"/>
  <c r="H1252" i="2"/>
  <c r="H1250" i="2"/>
  <c r="H1248" i="2"/>
  <c r="H1246" i="2"/>
  <c r="H1244" i="2"/>
  <c r="H1242" i="2"/>
  <c r="H1240" i="2"/>
  <c r="H1238" i="2"/>
  <c r="H1236" i="2"/>
  <c r="H1234" i="2"/>
  <c r="H1232" i="2"/>
  <c r="H1230" i="2"/>
  <c r="H1228" i="2"/>
  <c r="H1226" i="2"/>
  <c r="H1224" i="2"/>
  <c r="H1222" i="2"/>
  <c r="H1220" i="2"/>
  <c r="H1218" i="2"/>
  <c r="H1216" i="2"/>
  <c r="H1214" i="2"/>
  <c r="H1212" i="2"/>
  <c r="H1210" i="2"/>
  <c r="H1208" i="2"/>
  <c r="H1206" i="2"/>
  <c r="H1204" i="2"/>
  <c r="H1202" i="2"/>
  <c r="H1200" i="2"/>
  <c r="H1198" i="2"/>
  <c r="H1196" i="2"/>
  <c r="H1194" i="2"/>
  <c r="H1192" i="2"/>
  <c r="H1190" i="2"/>
  <c r="H1188" i="2"/>
  <c r="H1186" i="2"/>
  <c r="H1184" i="2"/>
  <c r="H1182" i="2"/>
  <c r="H1180" i="2"/>
  <c r="H1178" i="2"/>
  <c r="H1176" i="2"/>
  <c r="H1174" i="2"/>
  <c r="H1172" i="2"/>
  <c r="H1170" i="2"/>
  <c r="H1168" i="2"/>
  <c r="H1166" i="2"/>
  <c r="H1164" i="2"/>
  <c r="H1162" i="2"/>
  <c r="H1160" i="2"/>
  <c r="H1158" i="2"/>
  <c r="H1156" i="2"/>
  <c r="H1154" i="2"/>
  <c r="H1152" i="2"/>
  <c r="H1150" i="2"/>
  <c r="H1148" i="2"/>
  <c r="H1146" i="2"/>
  <c r="H1144" i="2"/>
  <c r="H1142" i="2"/>
  <c r="H1140" i="2"/>
  <c r="H1138" i="2"/>
  <c r="H1136" i="2"/>
  <c r="H1134" i="2"/>
  <c r="H1132" i="2"/>
  <c r="H1130" i="2"/>
  <c r="H1128" i="2"/>
  <c r="H1126" i="2"/>
  <c r="H1124" i="2"/>
  <c r="H1122" i="2"/>
  <c r="H1120" i="2"/>
  <c r="H1118" i="2"/>
  <c r="H1116" i="2"/>
  <c r="H1114" i="2"/>
  <c r="H1112" i="2"/>
  <c r="H1110" i="2"/>
  <c r="H1108" i="2"/>
  <c r="H1106" i="2"/>
  <c r="H1104" i="2"/>
  <c r="H1102" i="2"/>
  <c r="H1100" i="2"/>
  <c r="H1098" i="2"/>
  <c r="H1096" i="2"/>
  <c r="H1094" i="2"/>
  <c r="H1092" i="2"/>
  <c r="H1090" i="2"/>
  <c r="H1088" i="2"/>
  <c r="H1086" i="2"/>
  <c r="H1084" i="2"/>
  <c r="H1082" i="2"/>
  <c r="H1080" i="2"/>
  <c r="H1078" i="2"/>
  <c r="H1076" i="2"/>
  <c r="H1074" i="2"/>
  <c r="H1072" i="2"/>
  <c r="H1070" i="2"/>
  <c r="H1068" i="2"/>
  <c r="H1066" i="2"/>
  <c r="H1064" i="2"/>
  <c r="H1062" i="2"/>
  <c r="H1060" i="2"/>
  <c r="H1058" i="2"/>
  <c r="H1056" i="2"/>
  <c r="H1054" i="2"/>
  <c r="H1052" i="2"/>
  <c r="H1050" i="2"/>
  <c r="H1048" i="2"/>
  <c r="H1046" i="2"/>
  <c r="H1044" i="2"/>
  <c r="H1042" i="2"/>
  <c r="H1040" i="2"/>
  <c r="H1038" i="2"/>
  <c r="H1036" i="2"/>
  <c r="H1034" i="2"/>
  <c r="H1032" i="2"/>
  <c r="H1030" i="2"/>
  <c r="H1028" i="2"/>
  <c r="H1026" i="2"/>
  <c r="H1024" i="2"/>
  <c r="H1022" i="2"/>
  <c r="H1020" i="2"/>
  <c r="H1018" i="2"/>
  <c r="H1016" i="2"/>
  <c r="H1014" i="2"/>
  <c r="H1012" i="2"/>
  <c r="H1010" i="2"/>
  <c r="H1008" i="2"/>
  <c r="H1006" i="2"/>
  <c r="H1004" i="2"/>
  <c r="H1002" i="2"/>
  <c r="H1000" i="2"/>
  <c r="H998" i="2"/>
  <c r="H996" i="2"/>
  <c r="H994" i="2"/>
  <c r="H992" i="2"/>
  <c r="H990" i="2"/>
  <c r="H988" i="2"/>
  <c r="H986" i="2"/>
  <c r="H984" i="2"/>
  <c r="H982" i="2"/>
  <c r="H980" i="2"/>
  <c r="H978" i="2"/>
  <c r="H976" i="2"/>
  <c r="H974" i="2"/>
  <c r="H972" i="2"/>
  <c r="H970" i="2"/>
  <c r="H968" i="2"/>
  <c r="H966" i="2"/>
  <c r="H964" i="2"/>
  <c r="H962" i="2"/>
  <c r="H960" i="2"/>
  <c r="H958" i="2"/>
  <c r="H956" i="2"/>
  <c r="H954" i="2"/>
  <c r="H952" i="2"/>
  <c r="H950" i="2"/>
  <c r="H948" i="2"/>
  <c r="H946" i="2"/>
  <c r="H944" i="2"/>
  <c r="H942" i="2"/>
  <c r="H940" i="2"/>
  <c r="H938" i="2"/>
  <c r="H936" i="2"/>
  <c r="H934" i="2"/>
  <c r="H932" i="2"/>
  <c r="H930" i="2"/>
  <c r="H928" i="2"/>
  <c r="H926" i="2"/>
  <c r="H924" i="2"/>
  <c r="H922" i="2"/>
  <c r="H920" i="2"/>
  <c r="H918" i="2"/>
  <c r="H916" i="2"/>
  <c r="H914" i="2"/>
  <c r="H912" i="2"/>
  <c r="H910" i="2"/>
  <c r="H908" i="2"/>
  <c r="H906" i="2"/>
  <c r="H904" i="2"/>
  <c r="H902" i="2"/>
  <c r="H900" i="2"/>
  <c r="H898" i="2"/>
  <c r="H896" i="2"/>
  <c r="H894" i="2"/>
  <c r="H892" i="2"/>
  <c r="H890" i="2"/>
  <c r="H888" i="2"/>
  <c r="H886" i="2"/>
  <c r="H884" i="2"/>
  <c r="H882" i="2"/>
  <c r="H880" i="2"/>
  <c r="H878" i="2"/>
  <c r="H876" i="2"/>
  <c r="H874" i="2"/>
  <c r="H872" i="2"/>
  <c r="H870" i="2"/>
  <c r="H868" i="2"/>
  <c r="H866" i="2"/>
  <c r="H864" i="2"/>
  <c r="H862" i="2"/>
  <c r="H860" i="2"/>
  <c r="H858" i="2"/>
  <c r="H856" i="2"/>
  <c r="H854" i="2"/>
  <c r="H852" i="2"/>
  <c r="H850" i="2"/>
  <c r="H848" i="2"/>
  <c r="H846" i="2"/>
  <c r="H844" i="2"/>
  <c r="H842" i="2"/>
  <c r="H840" i="2"/>
  <c r="H838" i="2"/>
  <c r="H836" i="2"/>
  <c r="H834" i="2"/>
  <c r="H832" i="2"/>
  <c r="H830" i="2"/>
  <c r="H828" i="2"/>
  <c r="H826" i="2"/>
  <c r="H824" i="2"/>
  <c r="H822" i="2"/>
  <c r="H820" i="2"/>
  <c r="H818" i="2"/>
  <c r="H816" i="2"/>
  <c r="H814" i="2"/>
  <c r="H812" i="2"/>
  <c r="H810" i="2"/>
  <c r="H808" i="2"/>
  <c r="H806" i="2"/>
  <c r="H804" i="2"/>
  <c r="H802" i="2"/>
  <c r="H800" i="2"/>
  <c r="H798" i="2"/>
  <c r="H796" i="2"/>
  <c r="H794" i="2"/>
  <c r="H792" i="2"/>
  <c r="H790" i="2"/>
  <c r="H788" i="2"/>
  <c r="H786" i="2"/>
  <c r="H784" i="2"/>
  <c r="H782" i="2"/>
  <c r="H780" i="2"/>
  <c r="H778" i="2"/>
  <c r="H776" i="2"/>
  <c r="H774" i="2"/>
  <c r="H772" i="2"/>
  <c r="H770" i="2"/>
  <c r="H768" i="2"/>
  <c r="H766" i="2"/>
  <c r="H764" i="2"/>
  <c r="H762" i="2"/>
  <c r="H760" i="2"/>
  <c r="H758" i="2"/>
  <c r="H756" i="2"/>
  <c r="H754" i="2"/>
  <c r="H752" i="2"/>
  <c r="H750" i="2"/>
  <c r="H748" i="2"/>
  <c r="H746" i="2"/>
  <c r="H744" i="2"/>
  <c r="H742" i="2"/>
  <c r="H740" i="2"/>
  <c r="H738" i="2"/>
  <c r="H736" i="2"/>
  <c r="H734" i="2"/>
  <c r="H732" i="2"/>
  <c r="H730" i="2"/>
  <c r="H728" i="2"/>
  <c r="H726" i="2"/>
  <c r="H724" i="2"/>
  <c r="H722" i="2"/>
  <c r="H720" i="2"/>
  <c r="H718" i="2"/>
  <c r="H716" i="2"/>
  <c r="H714" i="2"/>
  <c r="H712" i="2"/>
  <c r="H710" i="2"/>
  <c r="H708" i="2"/>
  <c r="H706" i="2"/>
  <c r="H704" i="2"/>
  <c r="H702" i="2"/>
  <c r="H700" i="2"/>
  <c r="H698" i="2"/>
  <c r="H696" i="2"/>
  <c r="H694" i="2"/>
  <c r="H692" i="2"/>
  <c r="H690" i="2"/>
  <c r="H688" i="2"/>
  <c r="H686" i="2"/>
  <c r="H684" i="2"/>
  <c r="H682" i="2"/>
  <c r="H680" i="2"/>
  <c r="H678" i="2"/>
  <c r="H676" i="2"/>
  <c r="H674" i="2"/>
  <c r="H672" i="2"/>
  <c r="H670" i="2"/>
  <c r="H668" i="2"/>
  <c r="H666" i="2"/>
  <c r="H664" i="2"/>
  <c r="H662" i="2"/>
  <c r="H660" i="2"/>
  <c r="H658" i="2"/>
  <c r="H656" i="2"/>
  <c r="H654" i="2"/>
  <c r="H652" i="2"/>
  <c r="H650" i="2"/>
  <c r="H648" i="2"/>
  <c r="H646" i="2"/>
  <c r="H644" i="2"/>
  <c r="H642" i="2"/>
  <c r="H640" i="2"/>
  <c r="H638" i="2"/>
  <c r="H636" i="2"/>
  <c r="H634" i="2"/>
  <c r="H632" i="2"/>
  <c r="H630" i="2"/>
  <c r="H628" i="2"/>
  <c r="H626" i="2"/>
  <c r="H624" i="2"/>
  <c r="H622" i="2"/>
  <c r="H620" i="2"/>
  <c r="H618" i="2"/>
  <c r="H616" i="2"/>
  <c r="H614" i="2"/>
  <c r="H612" i="2"/>
  <c r="H610" i="2"/>
  <c r="H608" i="2"/>
  <c r="H606" i="2"/>
  <c r="H604" i="2"/>
  <c r="H602" i="2"/>
  <c r="H600" i="2"/>
  <c r="H598" i="2"/>
  <c r="H596" i="2"/>
  <c r="H594" i="2"/>
  <c r="H592" i="2"/>
  <c r="H590" i="2"/>
  <c r="H588" i="2"/>
  <c r="H586" i="2"/>
  <c r="H584" i="2"/>
  <c r="H582" i="2"/>
  <c r="H580" i="2"/>
  <c r="H578" i="2"/>
  <c r="H576" i="2"/>
  <c r="H574" i="2"/>
  <c r="H572" i="2"/>
  <c r="H570" i="2"/>
  <c r="H568" i="2"/>
  <c r="H566" i="2"/>
  <c r="H564" i="2"/>
  <c r="H562" i="2"/>
  <c r="H560" i="2"/>
  <c r="H558" i="2"/>
  <c r="H556" i="2"/>
  <c r="H554" i="2"/>
  <c r="H552" i="2"/>
  <c r="H550" i="2"/>
  <c r="H548" i="2"/>
  <c r="H546" i="2"/>
  <c r="H544" i="2"/>
  <c r="H542" i="2"/>
  <c r="H540" i="2"/>
  <c r="H538" i="2"/>
  <c r="H536" i="2"/>
  <c r="H534" i="2"/>
  <c r="H532" i="2"/>
  <c r="H530" i="2"/>
  <c r="H528" i="2"/>
  <c r="H526" i="2"/>
  <c r="H524" i="2"/>
  <c r="H522" i="2"/>
  <c r="H520" i="2"/>
  <c r="H518" i="2"/>
  <c r="H516" i="2"/>
  <c r="H514" i="2"/>
  <c r="H512" i="2"/>
  <c r="H510" i="2"/>
  <c r="H508" i="2"/>
  <c r="H506" i="2"/>
  <c r="H504" i="2"/>
  <c r="H502" i="2"/>
  <c r="H500" i="2"/>
  <c r="H498" i="2"/>
  <c r="H496" i="2"/>
  <c r="H494" i="2"/>
  <c r="H492" i="2"/>
  <c r="H490" i="2"/>
  <c r="H488" i="2"/>
  <c r="H486" i="2"/>
  <c r="H484" i="2"/>
  <c r="H482" i="2"/>
  <c r="H480" i="2"/>
  <c r="H478" i="2"/>
  <c r="H476" i="2"/>
  <c r="H474" i="2"/>
  <c r="H472" i="2"/>
  <c r="H470" i="2"/>
  <c r="H468" i="2"/>
  <c r="H466" i="2"/>
  <c r="H464" i="2"/>
  <c r="H462" i="2"/>
  <c r="H460" i="2"/>
  <c r="H458" i="2"/>
  <c r="H456" i="2"/>
  <c r="H454" i="2"/>
  <c r="H452" i="2"/>
  <c r="H450" i="2"/>
  <c r="H448" i="2"/>
  <c r="H446" i="2"/>
  <c r="H444" i="2"/>
  <c r="H442" i="2"/>
  <c r="H440" i="2"/>
  <c r="H438" i="2"/>
  <c r="H436" i="2"/>
  <c r="H434" i="2"/>
  <c r="H432" i="2"/>
  <c r="H430" i="2"/>
  <c r="H428" i="2"/>
  <c r="H426" i="2"/>
  <c r="H424" i="2"/>
  <c r="H422" i="2"/>
  <c r="H420" i="2"/>
  <c r="H418" i="2"/>
  <c r="H416" i="2"/>
  <c r="H414" i="2"/>
  <c r="H412" i="2"/>
  <c r="H410" i="2"/>
  <c r="H408" i="2"/>
  <c r="H406" i="2"/>
  <c r="H404" i="2"/>
  <c r="H402" i="2"/>
  <c r="H400" i="2"/>
  <c r="H398" i="2"/>
  <c r="H396" i="2"/>
  <c r="H394" i="2"/>
  <c r="H392" i="2"/>
  <c r="H390" i="2"/>
  <c r="H388" i="2"/>
  <c r="H386" i="2"/>
  <c r="H384" i="2"/>
  <c r="H382" i="2"/>
  <c r="H380" i="2"/>
  <c r="H378" i="2"/>
  <c r="H376" i="2"/>
  <c r="H374" i="2"/>
  <c r="H372" i="2"/>
  <c r="H370" i="2"/>
  <c r="H368" i="2"/>
  <c r="H366" i="2"/>
  <c r="H364" i="2"/>
  <c r="H362" i="2"/>
  <c r="H360" i="2"/>
  <c r="H358" i="2"/>
  <c r="H356" i="2"/>
  <c r="H354" i="2"/>
  <c r="H352" i="2"/>
  <c r="H350" i="2"/>
  <c r="H348" i="2"/>
  <c r="H346" i="2"/>
  <c r="H344" i="2"/>
  <c r="H342" i="2"/>
  <c r="H340" i="2"/>
  <c r="H338" i="2"/>
  <c r="H336" i="2"/>
  <c r="H334" i="2"/>
  <c r="H332" i="2"/>
  <c r="H330" i="2"/>
  <c r="H328" i="2"/>
  <c r="H326" i="2"/>
  <c r="H324" i="2"/>
  <c r="H322" i="2"/>
  <c r="H320" i="2"/>
  <c r="H318" i="2"/>
  <c r="H316" i="2"/>
  <c r="H314" i="2"/>
  <c r="H312" i="2"/>
  <c r="H310" i="2"/>
  <c r="H308" i="2"/>
  <c r="H306" i="2"/>
  <c r="H304" i="2"/>
  <c r="H302" i="2"/>
  <c r="H300" i="2"/>
  <c r="H298" i="2"/>
  <c r="H296" i="2"/>
  <c r="H294" i="2"/>
  <c r="H292" i="2"/>
  <c r="H290" i="2"/>
  <c r="H288" i="2"/>
  <c r="H286" i="2"/>
  <c r="H284" i="2"/>
  <c r="H282" i="2"/>
  <c r="H280" i="2"/>
  <c r="H278" i="2"/>
  <c r="H276" i="2"/>
  <c r="H274" i="2"/>
  <c r="H272" i="2"/>
  <c r="H270" i="2"/>
  <c r="H268" i="2"/>
  <c r="H266" i="2"/>
  <c r="H264" i="2"/>
  <c r="H262" i="2"/>
  <c r="H260" i="2"/>
  <c r="H258" i="2"/>
  <c r="H256" i="2"/>
  <c r="H254" i="2"/>
  <c r="H252" i="2"/>
  <c r="H250" i="2"/>
  <c r="H248" i="2"/>
  <c r="H246" i="2"/>
  <c r="H244" i="2"/>
  <c r="H242" i="2"/>
  <c r="H240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166" i="2"/>
  <c r="H164" i="2"/>
  <c r="H162" i="2"/>
  <c r="H160" i="2"/>
  <c r="H158" i="2"/>
  <c r="H156" i="2"/>
  <c r="H154" i="2"/>
  <c r="H152" i="2"/>
  <c r="H150" i="2"/>
  <c r="H148" i="2"/>
  <c r="H146" i="2"/>
  <c r="H144" i="2"/>
  <c r="H142" i="2"/>
  <c r="H140" i="2"/>
  <c r="H138" i="2"/>
  <c r="H136" i="2"/>
  <c r="H134" i="2"/>
  <c r="H132" i="2"/>
  <c r="H130" i="2"/>
  <c r="H128" i="2"/>
  <c r="H126" i="2"/>
  <c r="H124" i="2"/>
  <c r="H122" i="2"/>
  <c r="H120" i="2"/>
  <c r="H118" i="2"/>
  <c r="H116" i="2"/>
  <c r="H114" i="2"/>
  <c r="H112" i="2"/>
  <c r="H110" i="2"/>
  <c r="H108" i="2"/>
  <c r="H106" i="2"/>
  <c r="H104" i="2"/>
  <c r="H102" i="2"/>
  <c r="H100" i="2"/>
  <c r="H98" i="2"/>
  <c r="H96" i="2"/>
  <c r="H94" i="2"/>
  <c r="H92" i="2"/>
  <c r="H90" i="2"/>
  <c r="H88" i="2"/>
  <c r="H86" i="2"/>
  <c r="H84" i="2"/>
  <c r="H82" i="2"/>
  <c r="H80" i="2"/>
  <c r="H78" i="2"/>
  <c r="H76" i="2"/>
  <c r="H74" i="2"/>
  <c r="H72" i="2"/>
  <c r="H70" i="2"/>
  <c r="H68" i="2"/>
  <c r="H66" i="2"/>
  <c r="H64" i="2"/>
  <c r="H62" i="2"/>
  <c r="H60" i="2"/>
  <c r="H58" i="2"/>
  <c r="H56" i="2"/>
  <c r="H54" i="2"/>
  <c r="H52" i="2"/>
  <c r="H50" i="2"/>
  <c r="H48" i="2"/>
  <c r="H46" i="2"/>
  <c r="H44" i="2"/>
  <c r="H42" i="2"/>
  <c r="H40" i="2"/>
  <c r="H38" i="2"/>
  <c r="H36" i="2"/>
  <c r="H34" i="2"/>
  <c r="H32" i="2"/>
  <c r="H30" i="2"/>
  <c r="H28" i="2"/>
  <c r="H26" i="2"/>
  <c r="H24" i="2"/>
  <c r="H22" i="2"/>
  <c r="H20" i="2"/>
  <c r="H18" i="2"/>
  <c r="H16" i="2"/>
  <c r="H14" i="2"/>
  <c r="H12" i="2"/>
  <c r="H10" i="2"/>
  <c r="H8" i="2"/>
</calcChain>
</file>

<file path=xl/sharedStrings.xml><?xml version="1.0" encoding="utf-8"?>
<sst xmlns="http://schemas.openxmlformats.org/spreadsheetml/2006/main" count="10629" uniqueCount="3570">
  <si>
    <t>ΠΛΗΡΩΣΗ ΘΕΣΕΩΝ ΜΕ ΣΕΙΡΑ ΠΡΟΤΕΡΑΙΟΤΗΤΑΣ (ΑΡΘΡΟ 18/Ν. 2190/1994) ΠΡΟΚΗΡΥΞΗ : 6Κ/2020</t>
  </si>
  <si>
    <t>ΣΕΙΡΑ ΚΑΤΑΤΑΞΗΣ (ΚΥΡΙΟΣ)</t>
  </si>
  <si>
    <t>ΤΕΧΝΟΛΟΓΙΚΗΣ ΕΚΠΑΙΔΕΥΣΗΣ (ΤΕ)</t>
  </si>
  <si>
    <t>ΓΕΝΙΚΕΣ ΘΕΣΕΙΣ ΧΩΡΙΣ ΕΜΠΕΙΡΙΑ</t>
  </si>
  <si>
    <t>ΤΕ ΝΟΣΗΛΕΥΤΙΚΗΣ (Θ.720-721)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</si>
  <si>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</si>
  <si>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</si>
  <si>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</si>
  <si>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</si>
  <si>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</si>
  <si>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</si>
  <si>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</si>
  <si>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</si>
  <si>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Δ (708)</t>
  </si>
  <si>
    <t>ΜΑΡΟΥ</t>
  </si>
  <si>
    <t>ΕΜΜΑΝΟΥΕΛΑ</t>
  </si>
  <si>
    <t>ΙΩΑΝΝΗΣ</t>
  </si>
  <si>
    <t>ΑΒ810618</t>
  </si>
  <si>
    <t>768-708-707-734-713-747-750-711-757-724-762-720-721-760-706-726-725-735-736-737-738-785-755-756-702-754-753-744-745-748-749-752-712-714-716-709-717-710-718-746-751-775-774-772-719-773-761-715-705-703-740-778-731-732-766-777-786-783-784-723-722-704-844-764-765-727-728-730-776-771-781-770-758-739-782-779-780-769-741-729-743-742-787-759-763-767-733</t>
  </si>
  <si>
    <t>Δ (747)</t>
  </si>
  <si>
    <t>ΧΡΟΝΟΠΟΥΛΟΥ</t>
  </si>
  <si>
    <t>ΑΣΗΜΙΝΑ</t>
  </si>
  <si>
    <t>ΘΕΟΔΟΣΙΟΣ</t>
  </si>
  <si>
    <t>ΑΙ621779</t>
  </si>
  <si>
    <t>747-750-746-756-757-751-753-773-713-717-720-721-711-714</t>
  </si>
  <si>
    <t>Δ (757)</t>
  </si>
  <si>
    <t>ΚΑΡΑΜΑΝΙΑΝ</t>
  </si>
  <si>
    <t>ΡΟΥΘ ΜΑΡΙΑ</t>
  </si>
  <si>
    <t>ΚΕΓΑΜ</t>
  </si>
  <si>
    <t>ΑΖ567692</t>
  </si>
  <si>
    <t>757-747-750-753-746-751-717-756-720-721-713-711-773-714-775-748-745-749-744-754-752-755-719-718-712-772-774-709-710-716</t>
  </si>
  <si>
    <t>ΙΜΠΙΣ</t>
  </si>
  <si>
    <t>ΟΡΧΑΝ</t>
  </si>
  <si>
    <t>ΧΟΥΣΕΙΝ</t>
  </si>
  <si>
    <t>ΑΝ523760</t>
  </si>
  <si>
    <t>750-757-747-713-711-721-720-746-753-773-751-714-717-756</t>
  </si>
  <si>
    <t>Δ (844)</t>
  </si>
  <si>
    <t>ΣΑΚΑΠΕΤΗ</t>
  </si>
  <si>
    <t>ΕΥΑΓΓΕΛΙΑ</t>
  </si>
  <si>
    <t>ΓΕΩΡΓΙΟΣ</t>
  </si>
  <si>
    <t>ΑΟ708865</t>
  </si>
  <si>
    <t>704-705-844-762-756-755-710-732-731-711-712-753-750-757-709-714-751-746-747-744-745-748-749-752-754-713-717-720-721-702-718-716-773-719-772-774-775-768-703-765-764-706-707-708-733-734-724-725-726-730-735-736-737-738-740-785-760-761-777-786-766-784-727-729-758-783-728-759-723-782-776-771-715-722-778-770-779-780-787-769-763-781-739-741-743-767-742</t>
  </si>
  <si>
    <t>Δ (733)</t>
  </si>
  <si>
    <t>ΣΤΑΜΟΥΛΗ</t>
  </si>
  <si>
    <t>ΣΟΥΛΤΑΝΑ</t>
  </si>
  <si>
    <t>ΠΑΝΤΕΛΗΣ</t>
  </si>
  <si>
    <t>ΑΒ350984</t>
  </si>
  <si>
    <t>737-733-734-735-738-736-702-709-710-711-712-713-714-715-716-717-719-720-721-740-744-745-746-747-748-749-750-751-752-753-754-755-756-757-772-773-774-775-776-785</t>
  </si>
  <si>
    <t>Δ (774)</t>
  </si>
  <si>
    <t>ΙΠΠΕΙΩΤΗ</t>
  </si>
  <si>
    <t>ΔΗΜΗΤΡΑ</t>
  </si>
  <si>
    <t>ΝΙΚΟΛΑΟΣ</t>
  </si>
  <si>
    <t>ΑΗ927948</t>
  </si>
  <si>
    <t>767-718-716-719-738-702-772-773-774-775-720-721-714-717-751-752-753-754-755-756-757-744-745-746-747-748-749-750-709-710-711-712-713-736-737-733-734-735-740</t>
  </si>
  <si>
    <t>Δ (762)</t>
  </si>
  <si>
    <t>ΡΟΥΤΣΑ</t>
  </si>
  <si>
    <t>ΒΑΣΙΛΙΚΗ</t>
  </si>
  <si>
    <t>ΑΑ979234</t>
  </si>
  <si>
    <t>706-708-707-725-704-784-783-727-781-728-724-762-844-746-747-750-751-753-756-757-711-713-714-717-720-721-734-733-769-771-776-770-763-742-780-739-741</t>
  </si>
  <si>
    <t>Δ (773)</t>
  </si>
  <si>
    <t>ΚΑΤΣΟΓΡΙΔΑΚΗΣ</t>
  </si>
  <si>
    <t>ΕΜΜΑΝΟΥΗΛ ΕΛΕΥΘΕΡΙΟΣ</t>
  </si>
  <si>
    <t>ΚΟΣΜΑΣ</t>
  </si>
  <si>
    <t>Χ042467</t>
  </si>
  <si>
    <t>773-762-756-753-751-750-747-746-721-720-711</t>
  </si>
  <si>
    <t>Δ (770)</t>
  </si>
  <si>
    <t>ΔΙΠΤΕΝΗ</t>
  </si>
  <si>
    <t>ΔΕΣΠΟΙΝΑ</t>
  </si>
  <si>
    <t>ΟΘΩΝ</t>
  </si>
  <si>
    <t>ΑΖ823205</t>
  </si>
  <si>
    <t>734-776-771-711-713-747-750-757-762-780-770-724-741-708-707-730-735-738-736-737-758-760-761-768-778-785-740-705-715-723-702-709-712-710-749-774-772-748-755-752-754-745-744-719-718-716-782-731-732-786-777-766-703-765-764-726-767-787-779-759-721-743-722</t>
  </si>
  <si>
    <t>Δ (723)</t>
  </si>
  <si>
    <t>ΞΕΝΟΥ</t>
  </si>
  <si>
    <t>ΔΗΜΗΤΡΙΟΣ</t>
  </si>
  <si>
    <t>ΑΕ235581</t>
  </si>
  <si>
    <t>723-722-729-740-709-758-759-760-761-766-777-778-779-785-786-702-703-705-710-712-715-716-718-719-726-730-731-732-735-736-737-738-744-745-748-749-752-754-755-764-765-768-772-774-775-743-782-787-714-717-708-711-713-844-704-706-707-780-781-783-784-770-771-773-776-725-727-728-720-721-724-746-747-750-751-753-756-757-651-769-762-763-733-734-739-741-742</t>
  </si>
  <si>
    <t>Δ (720)</t>
  </si>
  <si>
    <t>ΣΟΛΩΜΟΝΙΔΗΣ</t>
  </si>
  <si>
    <t>ΜΙΧΑΗΛ</t>
  </si>
  <si>
    <t>ΕΜΜΑΝΟΥΗΛ</t>
  </si>
  <si>
    <t>ΑΒ300097</t>
  </si>
  <si>
    <t>720-721-753-746-747-750-773-757-713-717</t>
  </si>
  <si>
    <t>Δ (721)</t>
  </si>
  <si>
    <t>ΝΑΣΤΟΣ</t>
  </si>
  <si>
    <t>ΒΑΣΙΛΕΙΟΣ</t>
  </si>
  <si>
    <t>ΑΒ319099</t>
  </si>
  <si>
    <t>720-721-753-756-711-713-750-714-717-746-747-727-728</t>
  </si>
  <si>
    <t>Δ (718)</t>
  </si>
  <si>
    <t>ΚΕΦΑΛΑ</t>
  </si>
  <si>
    <t>ΠΑΝΑΓΙΩΤΑ</t>
  </si>
  <si>
    <t>ΠΑΝΑΓΙΩΤΗΣ</t>
  </si>
  <si>
    <t>ΑΗ522014</t>
  </si>
  <si>
    <t>718-775-720-721-773-719-716-762-755-756-774-772-717-710-714-746-747-744-745-748-750-751-752-753-754-749-757-713-711-712-702-709</t>
  </si>
  <si>
    <t>ΚΡΟΥΣΤΑΛΑΚΗ</t>
  </si>
  <si>
    <t>ΕΛΕΥΘΕΡΙΑ</t>
  </si>
  <si>
    <t>ΑΙ401264</t>
  </si>
  <si>
    <t>723-731-732-766-777-740-738-736-737-735-733-734-702-844-704-705-706-707-708-709-710-711-712-713-714-716-717-718-719-720-721-722-724-725-726-730-744-745-746-747-748-749-750-751-752-753-754-755-756-760-761-762-764-765-768-772-773-774-775</t>
  </si>
  <si>
    <t>ΒΑΓΕΝΑ</t>
  </si>
  <si>
    <t>ΓΕΩΡΓΙΑ</t>
  </si>
  <si>
    <t>ΣΟΦΟΚΛΗΣ</t>
  </si>
  <si>
    <t>Φ097472</t>
  </si>
  <si>
    <t>755-756-757-750-746-747-744-748-749-745-752-754-751-713-720-721-773-775-719-718-709-712-711-717-753</t>
  </si>
  <si>
    <t>ΡΑΨΟΜΑΝΙΚΗ</t>
  </si>
  <si>
    <t>ΣΠΥΡΙΔΩΝ</t>
  </si>
  <si>
    <t>Χ534041</t>
  </si>
  <si>
    <t>718-720-721-773-719</t>
  </si>
  <si>
    <t>ΤΣΙΟΤΡΑ</t>
  </si>
  <si>
    <t>ΑΝΑΣΤΑΣΙΑ</t>
  </si>
  <si>
    <t>ΣΩΤΗΡΙΟΣ</t>
  </si>
  <si>
    <t>ΑΑ011920</t>
  </si>
  <si>
    <t>746-747-753-757-750-751-756-711-713-714-773-749-755-748-752-744-754-745-774-718-772-719-702-709-710-712-716-720-721-775-717</t>
  </si>
  <si>
    <t>ΑΓΓΕΛΟΥ</t>
  </si>
  <si>
    <t>ΜΑΡΙΑ</t>
  </si>
  <si>
    <t>ΑΝΔΡΕΑΣ</t>
  </si>
  <si>
    <t>ΑΖ486648</t>
  </si>
  <si>
    <t>724-725-726-702-706-707-708-711-720-721-757</t>
  </si>
  <si>
    <t>ΒΑΣΙΛΕΡΗ</t>
  </si>
  <si>
    <t>ΑΝΝΑ ΜΑΡΙΑ</t>
  </si>
  <si>
    <t>ΔΗΜΟΣΘΕΝΗΣ</t>
  </si>
  <si>
    <t>ΑΒ247815</t>
  </si>
  <si>
    <t>753-717-718-713-714-751-752-750-744-746-747-773-745-755-756-748-749-754-757-709-710-716-711-712-720-721-702-772-774</t>
  </si>
  <si>
    <t>ΜΑΝΤΖΙΑΡΑ</t>
  </si>
  <si>
    <t>ΓΡΗΓΟΡΙΟΣ</t>
  </si>
  <si>
    <t>ΑΖ239866</t>
  </si>
  <si>
    <t>750-746-747-717-756-757-713-711-720-721-734-714-763-753-773-762-708-704-703-724-706-707-844</t>
  </si>
  <si>
    <t>ΜΠΕΜΠΕΣ</t>
  </si>
  <si>
    <t>ΑΛΕΞΑΝΔΡΟΣ</t>
  </si>
  <si>
    <t>ΧΡΗΣΤΟΣ</t>
  </si>
  <si>
    <t>ΑΖ272794</t>
  </si>
  <si>
    <t>751-702-750-773-770-781-785-739-740-786-777-732-731-779-780-766-763-758-769-743-741-742-759-723-725-729-767-768-787-784-724-726-771-778-733-738-735-736-737-734-722-705-704-715-730-760-761-762-764-765-776-728-727-844-703-706-708-707-783-713-712-711-718-719-747-748-749-752-753-754-774-709-717-716-714-745-744-746-772-775-710-756-755-720-721-757</t>
  </si>
  <si>
    <t>Δ (711)</t>
  </si>
  <si>
    <t>ΣΑΜΑΡΑ</t>
  </si>
  <si>
    <t>ΜΑΡΙΝΑ</t>
  </si>
  <si>
    <t>ΣΤΑΥΡΟΣ</t>
  </si>
  <si>
    <t>Φ342677</t>
  </si>
  <si>
    <t>734-733-757-711-713-746-747-750-721-714-773-756-720-753-751-717</t>
  </si>
  <si>
    <t>Δ (755)</t>
  </si>
  <si>
    <t>ΚΑΝΤΥΛΤΣΙΟΥ</t>
  </si>
  <si>
    <t>ΑΘΑΝΑΣΙΟΣ</t>
  </si>
  <si>
    <t>Χ133605</t>
  </si>
  <si>
    <t>755-710-754-774-749-748-712-718-709-744-745-719-775-772-702-752-716-756-757-746-747-720-717-753-773-713-750-721-751-714-711</t>
  </si>
  <si>
    <t>Δ (725)</t>
  </si>
  <si>
    <t>ΠΑΠΑΔΟΠΟΥΛΟΥ</t>
  </si>
  <si>
    <t>ΣΤΕΛΛΑ</t>
  </si>
  <si>
    <t>ΧΑΡΑΛΑΜΠΟΣ</t>
  </si>
  <si>
    <t>ΑΜ365127</t>
  </si>
  <si>
    <t>733-734-776-771-725-724-704-844-706-707-708-727-728-762-783-784-781-711-713-714-717-718-720-721-773-746-747-750-751-753-756-757-770-769-763-739-741-742-780-768-738-737-735-736-760-761-730-740-778-785-715-726-705-703-764-765-731-732-766-777-786-712-709-710-702-716-719-774-775-744-745-748-749-752-754-755-729-758-759-782-779-743-723-722</t>
  </si>
  <si>
    <t>ΓΚΑΡΑΒΕΛΛΑ</t>
  </si>
  <si>
    <t>ΕΥΑΓΓΕΛΟΣ</t>
  </si>
  <si>
    <t>ΑΖ785276</t>
  </si>
  <si>
    <t>707-708-776-762-734-724-711-713-747-750-757-721-720-771</t>
  </si>
  <si>
    <t>ΤΣΙΡΟΓΙΑΝΝΗ</t>
  </si>
  <si>
    <t>ΓΛΥΚΕΡΙΑ</t>
  </si>
  <si>
    <t>ΑΗ268225</t>
  </si>
  <si>
    <t>768-730-733-734-735-736-737-738-760-761-776-785-702-703-844-704-705-706-707-708-709-710-711-712-713-714-715-716-717-718-719-720-721-722-723-724-725-726-727-728-740-744-745-746-747-748-749-750-751-752-753-754-755-756-757-762-764-765-771-772-773-774-775-778-783-784-729-758-759-781-731-732-766-786-739-741-742-743-763-767-769-770-779-780-782-787</t>
  </si>
  <si>
    <t>ΜΠΟΥΤΣΟΥΚΟΥ</t>
  </si>
  <si>
    <t>ΡΑΙΠ</t>
  </si>
  <si>
    <t>ΑΝ521554</t>
  </si>
  <si>
    <t>709-713-714-745-748-747-749-746-753-754-711-712-750-744-751-752-755-756-757-718-710-720-717</t>
  </si>
  <si>
    <t>Δ (719)</t>
  </si>
  <si>
    <t>ΜΠΟΥΚΛΑΣ</t>
  </si>
  <si>
    <t>Ξ658405</t>
  </si>
  <si>
    <t>749-754-753-714-712-713-745-748-750-719-709-717-718-702-711-751-752-755-710-756-757-773-775-747-746-744-720-721-772-774-716-738-736-737-735-734-733-777-766-732-731-786-785-739-758-743-742-768-762-763-705-704-844-726-725-724-765-780-781-769-729-741-764-778-759-723-740-703</t>
  </si>
  <si>
    <t>ΓΕΩΡΓΙΟΥ</t>
  </si>
  <si>
    <t>ΑΙΚΑΤΕΡΙΝΗ</t>
  </si>
  <si>
    <t>ΕΠΑΜΕΙΝΩΝΔΑΣ</t>
  </si>
  <si>
    <t>ΑΝ679917</t>
  </si>
  <si>
    <t>718-772-774-719-775-754-745-755-749-752-748-744-709-712-702-773-720-721-717-746-747-753-756-757-751-750-713-714-711-710-716</t>
  </si>
  <si>
    <t>Δ (738)</t>
  </si>
  <si>
    <t>ΣΟΥΜΑ</t>
  </si>
  <si>
    <t>ΘΕΟΔΩΡΑ</t>
  </si>
  <si>
    <t>ΑΑ429521</t>
  </si>
  <si>
    <t>768-738-737-735-736-733-734-760-761-730-776-740-771-778-785-715-726-724-725-705-704-844-703-706-707-708-727-728-764-765-762-783-784-731-732-766-777-786-781-712-709-710-711-713-714-702-716-718-717-719-720-721-772-774-775-773-744-745-748-749-752-754-755-746-747-750-751-753-756-757-729-758-759-770-769-782-779-763-739-743-723-722-741-742-780</t>
  </si>
  <si>
    <t>ΝΙΚΟΛΑΙΔΗ</t>
  </si>
  <si>
    <t>ΛΥΔΙΑ ΑΝΤΩΝΙΑ</t>
  </si>
  <si>
    <t>ΑΜ667904</t>
  </si>
  <si>
    <t>720-721</t>
  </si>
  <si>
    <t>ΣΙΜΩΤΑ</t>
  </si>
  <si>
    <t>ΣΤΑΥΡΟΥΛΑ</t>
  </si>
  <si>
    <t>ΑΚ632749</t>
  </si>
  <si>
    <t>704-705-717-751-713-714-718-709-750-746-747-773-719-756-757-720-721-752-744-775-755-745-748-749-754-722-774-711-712</t>
  </si>
  <si>
    <t>ΝΑΤΣΙΟΥ</t>
  </si>
  <si>
    <t>ΧΡΙΣΤΙΝΑ</t>
  </si>
  <si>
    <t>ΛΕΥΤΕΡΗΣ</t>
  </si>
  <si>
    <t>ΑΚ814589</t>
  </si>
  <si>
    <t>775-713-757-747-746-752-745-753-750-754-718-711-712-751-710-755-756-749-719-721-773-772-774-709-748-744-720-714</t>
  </si>
  <si>
    <t>Δ (724)</t>
  </si>
  <si>
    <t>ΦΕΡΦΕΛΗ</t>
  </si>
  <si>
    <t>ΗΛΙΑΝΑ</t>
  </si>
  <si>
    <t>ΒΑΛΕΡΗΣ</t>
  </si>
  <si>
    <t>ΑΑ430361</t>
  </si>
  <si>
    <t>768-733-734-735-736-737-738-724-723-725-726-706-707-708-727-728-730-760-761-785-781-771-740-715-722-744-745-746-747-748-749-750-751-752-753-754-755-756-757-773-710-711-712-713-714-716-717-718-719-720-721-731-732-786-777-766</t>
  </si>
  <si>
    <t>ΜΑΡΤΙΝΗΣ</t>
  </si>
  <si>
    <t>ΗΛΙΑΣ</t>
  </si>
  <si>
    <t>ΚΩΝΣΤΑΝΤΙΝΟΣ</t>
  </si>
  <si>
    <t>ΑΒ019971</t>
  </si>
  <si>
    <t>713-720-721-711-714-750-751-753-757-773</t>
  </si>
  <si>
    <t>ΑΠΟΣΤΟΛΟΠΟΥΛΟΥ</t>
  </si>
  <si>
    <t>ΑΓΓΕΛΙΚΗ-ΔΕΣΠΟΙΝΑ</t>
  </si>
  <si>
    <t>ΑΝΤΩΝΙΟΣ</t>
  </si>
  <si>
    <t>ΑΑ358767</t>
  </si>
  <si>
    <t>704-762-717-720-721-750-773-747-714-711-713-746-751-753-756-757</t>
  </si>
  <si>
    <t>ΤΑΣΟΥΔΗΣ</t>
  </si>
  <si>
    <t>ΠΑΣΧΑΛΗΣ</t>
  </si>
  <si>
    <t>ΑΝΑΣΤΑΣΙΟΣ</t>
  </si>
  <si>
    <t>ΑΜ680176</t>
  </si>
  <si>
    <t>734-750-747-746-753-711-713-714-751-771-776-724-725-727-728-762-783-784-844-704-706-707-708-739-741-742-763-769-770-780-781-733-720-721-717-756-757-773</t>
  </si>
  <si>
    <t>ΧΑΣΚΗ</t>
  </si>
  <si>
    <t>ΕΙΡΗΝΗ</t>
  </si>
  <si>
    <t>ΑΗ242741</t>
  </si>
  <si>
    <t>704-762-734-733-844-783-784-708-707-706-727-728-724-725-776-753-711-750-773-717-714-713-746-747-757-756-720-721-771-781-780-769-742-739-741</t>
  </si>
  <si>
    <t>ΚΥΠΡΑΙΟΥ</t>
  </si>
  <si>
    <t>ΑΗ402193</t>
  </si>
  <si>
    <t>771-740-761-760-722-723-715-730-767-768-776-785-786-702-703-733-734-735-736-737-738-844-744-705-706-707-708-709-710-711-712-713-714-716-717-718-719-720-721-724-725-726-727-728-729-731-732-743-745-746-747-748-749-750-751-752-753-754-755-756-757-758-759-762-763-764-765-766-769-770-772-773-774-775-777-778-779-780-781-782-783-784-788-739-742-741-787</t>
  </si>
  <si>
    <t>ΓΙΑΚΗ</t>
  </si>
  <si>
    <t>ΑΙ817456</t>
  </si>
  <si>
    <t>738-737-705-731-735-736-732-723-785-786-778-766-743-787-718-745-755-748-749-752-744-754-774-775-734-771-762-776-708-724-770-741-780-747-711-713-750-757-720-721</t>
  </si>
  <si>
    <t>ΑΣΛΑΝΙΔΟΥ</t>
  </si>
  <si>
    <t>ΜΕΛΙΝΑ</t>
  </si>
  <si>
    <t>ΑΕ888652</t>
  </si>
  <si>
    <t>740-715-771-778-785-735-738-734-736-737-733-723-722-768-776-730-760-728-727-724-725-726-706-707-708-844-761-784-764-765-762-704-705-770-782-703-729-781-783-759-758-769-739-779-743-741-766-777-786-731-732-749-746-747-750-754-711-712-702-755-756-774-772-744-748-753-745-709-716-751-752-713-714-717-718-719-710-773-721-720-757-780-787-763</t>
  </si>
  <si>
    <t>ΠΑΝΑΓΙΩΤΟΠΟΥΛΟΥ</t>
  </si>
  <si>
    <t>Χ186292</t>
  </si>
  <si>
    <t>720-721-714-717-711-713-746-747-750-751-753-756-757-773-762-704</t>
  </si>
  <si>
    <t>ΜΙΧΕΛΑΡΑΚΗ</t>
  </si>
  <si>
    <t>ΑΖ127823</t>
  </si>
  <si>
    <t>772-774-719-702-753-773-720</t>
  </si>
  <si>
    <t>ΖΥΓΟΥΡΗ</t>
  </si>
  <si>
    <t>ΑΟ503817</t>
  </si>
  <si>
    <t>717-775-720-721-773-719</t>
  </si>
  <si>
    <t>ΖΑΡΑΓΚΑ</t>
  </si>
  <si>
    <t>ΤΡΙΑΔΑ</t>
  </si>
  <si>
    <t>ΑΚ262814</t>
  </si>
  <si>
    <t>753-757-752-748-745-750-749-747-746-754-744-751-702-712-711-718-719-721-720-755-756-709-710-713-716-714-717-772-773-774-782-780-705-704-724-729-725-733-734-735-738-737-736-740-741-739-742-743-758-759-762-763-765-764-767-768-770-778-779-783-784-781-777-786-787-785-703-708-844-706-707-723-722-715-726-727-728-730-731-732-761-760-766-776-769</t>
  </si>
  <si>
    <t>ΣΠΥΡΟΥ</t>
  </si>
  <si>
    <t>ΙΩΑΝΝΑ</t>
  </si>
  <si>
    <t>ΣΠΥΡΟΣ</t>
  </si>
  <si>
    <t>ΑΚ635479</t>
  </si>
  <si>
    <t>757-746-747-755-756-721-752-751-718-749-750-744-717-772-720-710-713-748-709</t>
  </si>
  <si>
    <t>ΜΑΡΚΟΥ</t>
  </si>
  <si>
    <t>ΛΕΩΝΙΔΑΣ</t>
  </si>
  <si>
    <t>ΑΝ623872</t>
  </si>
  <si>
    <t>747-750-711-713-757-721-720-724-762-707-708-734-776-771-770-741-780-749-748-754-755-745-718-744-752-705-735-736-737-738-774-778-785-775-766-731-732-723-786-787</t>
  </si>
  <si>
    <t>Δ (772)</t>
  </si>
  <si>
    <t>ΣΜΑΡΑΓΔΑΚΗ</t>
  </si>
  <si>
    <t>ΑΑ003497</t>
  </si>
  <si>
    <t>773-772-775-774-757-720-753-719-717-746-747-755-756-702-718-751-752-754-714-713</t>
  </si>
  <si>
    <t>ΒΑΣΙΛΑΡΟΥ</t>
  </si>
  <si>
    <t>ΕΛΕΝΗ</t>
  </si>
  <si>
    <t>ΑΖ429870</t>
  </si>
  <si>
    <t>718-749-754-753-755-756-748-750-752-746-747-745-744-711-712-757-710-709-714-713-751-719-702-772-773-774-716-717-775-766-731-732-704-705-767-720-721</t>
  </si>
  <si>
    <t>ΚΑΤΣΑΡΟΥ</t>
  </si>
  <si>
    <t>ΟΥΡΑΝΙΑ</t>
  </si>
  <si>
    <t>ΑΙ506037</t>
  </si>
  <si>
    <t>756-757-751-750-746-714-711-747-713-717-753-773-720-721</t>
  </si>
  <si>
    <t>ΚΑΥΚΙΑ</t>
  </si>
  <si>
    <t>ΧΡΥΣΑΝΘΗ</t>
  </si>
  <si>
    <t>ΑΙ262854</t>
  </si>
  <si>
    <t>711-713-714-717-720-721-746-747-750-751-753-756-757-773-777-733-734-762-724-725-844-704-706-707-708-727-728-739-741-742-743-763-702-709-710-712-716-718-719-744-745-748-749-752-754-755-772-774-775-731-732-766-786-735-736-737-738-785-758-759-767-769-726-703-730-768-715-764-765-722-723-740-760-761-705-770-771-776-778-779-780-781-782-783-784-787</t>
  </si>
  <si>
    <t>ΜΑΜΟΥΔΗ</t>
  </si>
  <si>
    <t>ΒΑΣΙΛΙΚΗ ΕΙΡΗΝΗ</t>
  </si>
  <si>
    <t>ΑΟ353059</t>
  </si>
  <si>
    <t>768-760-761-730-738-736-737-776-734-733-784-785-740-727-715-707-708-706-771-728-778-783-724-781-709-711-712-710-713-716-719-725-726-746-745-744-747-751-748-749-750-752-753-754-755-756-757-773-774-772-723-718-717-714-722-720-721-844-704-705-702-762-764-765-775-786-703-731-732-741-742-758-767-766-777-787-782-779-780-729-759-743-739-769-770-763</t>
  </si>
  <si>
    <t>ΕΥΣΤΑΘΙΟΥ</t>
  </si>
  <si>
    <t>ΚΩΝΣΤΑΝΤΙΝΑ</t>
  </si>
  <si>
    <t>Χ984739</t>
  </si>
  <si>
    <t>750-746-747-757-711-751-753-713-773-720-721-756-714-717-762-724-725-706-707-708-704-844-784-783-734-733-781</t>
  </si>
  <si>
    <t>ΣΙΑΜΟΣ</t>
  </si>
  <si>
    <t>ΛΑΜΠΡΟΣ</t>
  </si>
  <si>
    <t>ΑΕ726923</t>
  </si>
  <si>
    <t>705-704-749-754-753-745-748-746-747-750-713-744-752-757-755-756-711-712-710-709-702-751-714-717-718-720-721-774-775-772-762-703-719-773-716-844-733-734-735-736-737-738-768-706-729-758-759-727-728-724-725-726-785-740-730-715-761-723-778-722-782-769-763-767-779-780-787-781-770-739-741-742-743-760-771-776-786-731-732-766-777-707-783-708-784-765-764</t>
  </si>
  <si>
    <t>ΓΡΗΓΟΡΙΟΥ</t>
  </si>
  <si>
    <t>Χ948705</t>
  </si>
  <si>
    <t>762-763-769-780-781-783-784-770-771-773-776-844-704-706-707-708-711-713-714-717-720-721-724-725-727-728-733-734-739-741-742-746-747-750-751-753-756-757</t>
  </si>
  <si>
    <t>ΑΒΡΑΜΙΔΟΥ</t>
  </si>
  <si>
    <t>ΑΛΕΞΑΝΔΡΑ</t>
  </si>
  <si>
    <t>ΑΒ166077</t>
  </si>
  <si>
    <t>734-735-737-738-733-736-785-730-776-740-715-760-761-768-786-777-766-731-732-739-782-769-770-781-758-759-771-729-704-844-705-724-725-726-722-723-762-778-783-784-706-707-708-728-727-703-741-742-779-780-764-765-767-763-787-743-702-710-711-712-713-709-746-753-750-749-748-744-745-747-756-757-751-752-754-755-714-716-718-719-717-772-773-774-775-721-720</t>
  </si>
  <si>
    <t>ΔΙΑΚΟΓΕΩΡΓΙΟΥ</t>
  </si>
  <si>
    <t>ΚΑΛΛΙΟΠΗ</t>
  </si>
  <si>
    <t>ΑΚ836088</t>
  </si>
  <si>
    <t>718-719-774-772-716-775-749-745-748-744-754-720-721-753-747-709-752-702-757-750-755-756</t>
  </si>
  <si>
    <t>Δ (716)</t>
  </si>
  <si>
    <t>ΜΠΟΥΓΙΟΥΚΛΗ</t>
  </si>
  <si>
    <t>ΧΡΥΣΟΥΛΑ</t>
  </si>
  <si>
    <t>ΜΑΛΑΜΑΣ</t>
  </si>
  <si>
    <t>ΑΚ847544</t>
  </si>
  <si>
    <t>720-721-773-750-751-757-753-714-713-746-747-756-717-711-718-719-716-748-749-752-774-775</t>
  </si>
  <si>
    <t>ΑΣΚΙΑΝΑΚΗ</t>
  </si>
  <si>
    <t>ΕΥΤΥΧΙΑ</t>
  </si>
  <si>
    <t>ΔΗΜΗΤΡΗΣ</t>
  </si>
  <si>
    <t>ΑΖ962196</t>
  </si>
  <si>
    <t>731-732-777-766-786-756-750-747-746-751-757-753-711-713-714-717-773-720-721-762-780-742-741-739-763-769-784-725-728-724-727-844-706-707-704-733-734-781-783-771</t>
  </si>
  <si>
    <t>ΤΗΛΕΜΑΧΟΥ</t>
  </si>
  <si>
    <t>ΝΙΚΟΛΕΤΑ</t>
  </si>
  <si>
    <t>ΑΜ226438</t>
  </si>
  <si>
    <t>748-757-720-750-744-702-745-752-721-774-719-773-753-749-751-714-713-711-712-718-717-709-755-756-710-754</t>
  </si>
  <si>
    <t>ΑΡΝΑΟΥΤΟΓΛΟΥ</t>
  </si>
  <si>
    <t>ΚΥΡΙΑΚΟΣ</t>
  </si>
  <si>
    <t>ΑΙ285430</t>
  </si>
  <si>
    <t>733-734-735-736-737-738-740-760-761-768-702-703-844-704-705-706-707-708-709-710-711-712-713-714-715-716-717-718-719-720-721-723-724-725-726-727-728-729-730-731-732-744-745-746-747-748-749-750-751-752-753-754-755-756-757-764-765-766-762-722-773-774-775-777-786-770-771-776-778-779-780-781-782-783-784-739-741-742</t>
  </si>
  <si>
    <t>ΓΕΩΡΓΑΛΑ</t>
  </si>
  <si>
    <t>ΣΤΕΦΑΝΟΣ</t>
  </si>
  <si>
    <t>ΑΒ039925</t>
  </si>
  <si>
    <t>749-718-748-720-721</t>
  </si>
  <si>
    <t>ΚΑΤΣΑΡΕ</t>
  </si>
  <si>
    <t>ΑΙ283376</t>
  </si>
  <si>
    <t>734-733-776-738-737-736-735-730-708-707-706-714-713-711-746-747-750-751-753-756-757-754-755-752-748-749-745-744-772-773-709-710-715-716-717-718-719-712-740-760-761-762-768-771-774-775-783-784-844-704-705-785-724-725-726-727-728-764-765-781-782-720-721-722-723-758-759-766-786-779-778-777-780-787-769-763-731-732-729-767-770-739-741-742-743</t>
  </si>
  <si>
    <t>ΑΕ815660</t>
  </si>
  <si>
    <t>734-735-736-737-738-733-776-730-760-761-787-786-785-784-783-782-781-780-779-778-777-775-774-773-772-771-770-769-768-767-766-765-764-763-762-759-758-757-756-755-754-753-752-751-750-749-748-747-746-745-744-743-742-741-740-739-732-731-729-728-727-726-725-724-723-722-720-721-719-718-717-716-715-714-713-712-711-710-709-708-707-706-705-704-703-702-701</t>
  </si>
  <si>
    <t>ΖΑΧΟΥ</t>
  </si>
  <si>
    <t>ΑΝ329889</t>
  </si>
  <si>
    <t>749-748-752-744-754-745-718-709-772-710-719-753-756-716-705-768-735-737-733-761-715-722-732-786-777-787-755-774-775-702-711-712-713-747-750-757-720-721-773-751-746-714-717-762-708-706-707-704-703-844-783-784-727-724-725-726-764-765-738-736-734-785-730-776-771-778-723-760-740-729-758-759-770-769-781-731-766-767-763-741-742-743-779-782-780-728</t>
  </si>
  <si>
    <t>ΔΗΜΟΥ</t>
  </si>
  <si>
    <t>ΒΑΙΑ</t>
  </si>
  <si>
    <t>ΑΗ767662</t>
  </si>
  <si>
    <t>737-734-735-738-736-746-747-755-756-710-709-702-711-712-713-717-745-743-716-750-751-752-749-748-719-757-773-774-775-753-754-744-714-720-721-733</t>
  </si>
  <si>
    <t>ΓΚΡΙΤΖΑΛΑΣ</t>
  </si>
  <si>
    <t>ΕΥΣΤΡΑΤΙΟΣ</t>
  </si>
  <si>
    <t>ΑΝ616638</t>
  </si>
  <si>
    <t>702-712-711-713-718-709-750-754-714-719-717-746-744-745-747-748-749-751-753-757-774-710-755-756-773-716-772-733-734-735-736-737-738-724-752-721</t>
  </si>
  <si>
    <t>ΤΣΑΝΙ</t>
  </si>
  <si>
    <t>ΒΥΡΩΝ</t>
  </si>
  <si>
    <t>ΣΑΜΠΡΙ</t>
  </si>
  <si>
    <t>ΑΟ355529</t>
  </si>
  <si>
    <t>768-760-761-730-733-734-737-735-736-738-740-715-767-771-776-778-783-784-781-707-708-726-727-725-724-728-785-782-702-703-705-709-710-712-716-718-719-720-721-722-723-742-748-749-750-747-746-745-744-743-757-756-755-754-753-752-751-763-762-759-758-732-731-717-711-713-706-766-765-764-770-772-774-779-777-780-786-787</t>
  </si>
  <si>
    <t>ΜΩΡΟΥ</t>
  </si>
  <si>
    <t>ΜΑΡΙΑ ΜΑΓΔΑΛΗΝΗ</t>
  </si>
  <si>
    <t>ΑΜ625349</t>
  </si>
  <si>
    <t>746-747-748-757-750-713-752-753-754-749-745-720-709</t>
  </si>
  <si>
    <t>ΝΤΕΝΤΟΠΟΥΛΟΥ</t>
  </si>
  <si>
    <t>Χ685083</t>
  </si>
  <si>
    <t>733-734-735-736-737-738-702-703-704-705-706-707-708-709-710-711-712-713-714-715-716-717-718-719-720-721-722-723-724-725-726-727-728-729-730-731-732-740-741-742-743-744-745-746-747-748-749-750-751-752-753-754-755-756-757-758-759-760-761-762-763-764-765-768-769-770-771-772-773-774-775-776-777-778-779-780-781-782-783-784-785-786-787</t>
  </si>
  <si>
    <t>ΠΙΤΣΙΑΣ</t>
  </si>
  <si>
    <t>ΑΣΤΕΡΙΟΣ</t>
  </si>
  <si>
    <t>ΑΒ882382</t>
  </si>
  <si>
    <t>733-734-725-704-707-708-761-711-713-714-717-720-721-724-746-747-750-751-753-756-757-771-773</t>
  </si>
  <si>
    <t>ΜΠΕΤΧΑΒΑ</t>
  </si>
  <si>
    <t>ΑΦΡΟΔΙΤΗ</t>
  </si>
  <si>
    <t>ΑΕ584082</t>
  </si>
  <si>
    <t>757-747-750-713-721-720-711-762-734-724-770-741-780-776</t>
  </si>
  <si>
    <t>ΣΑΙΤΙΩΤΗ</t>
  </si>
  <si>
    <t>ΘΕΟΔΩΡΟΣ</t>
  </si>
  <si>
    <t>ΑΒ155240</t>
  </si>
  <si>
    <t>732-733-734-735-740-785-771-723-736-737-738-760-761-724-725-726-727-728-729-730-731-739-741-742-702-703-844-704-705-706-707-708-709-710-711-712-713-714-715-716-717-718-719-720-721-722-751-752-753-754-755-756-757-744-745-746-747-748-749-750-764-768-758-759-763-765-766-767-769-770-772-773-774-775-776-777-778-779-780-781-782-783-784-786-787-651-657-658-649-650-653-654-655-656-615-616-652-659</t>
  </si>
  <si>
    <t>ΝΤΑΡΗΣ</t>
  </si>
  <si>
    <t>ΠΕΤΡΟΣ</t>
  </si>
  <si>
    <t>ΑΙ283565</t>
  </si>
  <si>
    <t>734-733-776-738-737-735-736-730-708-707-706-714-713-711-746-747-750-751-753-756-757-754-755-752-748-749-745-744-772-773-709-710-715-716-717-718-719-712-740-760-761-762-768-771-774-775-783-784-844-704-705-785-724-725-726-727-728-764-765-781-782-720-721-722-723-758-759-766-786-779-778-777-780-787-769-763-731-732-729-767-770-739-741-742-743</t>
  </si>
  <si>
    <t>Δ (705)</t>
  </si>
  <si>
    <t>ΤΣΙΡΩΝΗΣ</t>
  </si>
  <si>
    <t>Χ867704</t>
  </si>
  <si>
    <t>705-704-844-774-772-775-716-719-718-773-735-744-736-737-738-758-755-754-711-717-733-734-746-747-709-710-712-752-749-748-745-760-761-764-765-759-757-756-753-751-750-714-720-721-724-725-762-726-730-740-768-785-731-732-766-777-786-706-707-708</t>
  </si>
  <si>
    <t>ΣΤΟΙΛΙΔΗΣ</t>
  </si>
  <si>
    <t>ΑΡΙΣΤΕΙΔΗΣ</t>
  </si>
  <si>
    <t>ΑΕ671021</t>
  </si>
  <si>
    <t>734-733-735-736-785-737-738-725-724-762-706-707-708-704-844-776-753-779-781-780-705-703-730-729-731-732-726-727-728-739-741-740-742-743-765-766-768-767-770-769-771-758-759-760-761-764-763-715-782-784-783-786-787-722-723-777-778-756-747-755-714-717-757-720-721-746-750-751-702-773-711-713</t>
  </si>
  <si>
    <t>ΜΠΑΛΑΣΗ ΔΟΚΟΥ</t>
  </si>
  <si>
    <t>ΣΤΕΦΑΝΗ</t>
  </si>
  <si>
    <t>ΑΚ015197</t>
  </si>
  <si>
    <t>720-717-721-751-757-746-747-756-773-750-713</t>
  </si>
  <si>
    <t>ΜΗΤΣΙΑΛΟΥ</t>
  </si>
  <si>
    <t>ΑΕ337939</t>
  </si>
  <si>
    <t>734-733-746-747-750-751-753-756-757-773-720-721-774-714-717-711-713-706-707-708-704-844-762-763-771-725-739-741-742-758-769-770-776-781-780-783-784-735-736-737-738-740-760-761-785-786-730-705-715-726-768-702-709-712-716-718-719-744-745-748-749-752-754-772-775-778-703-731-732-764-765-779-729-787-759-710-743-755-766-777</t>
  </si>
  <si>
    <t>ΚΟΛΟΒΑΔΗ</t>
  </si>
  <si>
    <t>ΑΓΓΕΛΙΚΗ</t>
  </si>
  <si>
    <t>ΑΜ547616</t>
  </si>
  <si>
    <t>773-719-774-772-718-744-757-750-753-747-748-752-749-745-720-721-775-754-755-756-751-716-717-746-709-712-710-702-713-714</t>
  </si>
  <si>
    <t>Δ (764)</t>
  </si>
  <si>
    <t>ΠΑΠΑΝΙΚΟΥ</t>
  </si>
  <si>
    <t>ΑΝ815949</t>
  </si>
  <si>
    <t>754-755-756-757-744-745-746-747-748-749-750-751-752-753-772-773-774-775-702-709-710-711-712-713-714-716-717-718-719-720-721-704-844-705-762-784-783-729-706-707-708-724-725-726-727-728-722-723-730-731-732-733-734-735-736-737-738-739-740-741-742-703-760-761-764-768-765-785-786-787-777-778-779-780-766-769-759-767-763-758</t>
  </si>
  <si>
    <t>ΑΛΕΞΕΛΛΗ</t>
  </si>
  <si>
    <t>ΑΝΝΑ</t>
  </si>
  <si>
    <t>ΜΙΛΤΙΑΔΗΣ</t>
  </si>
  <si>
    <t>ΑΝ040010</t>
  </si>
  <si>
    <t>717-751-713-773-757-750-746-747-756-753-711-714-749-745-709-748-752-754-755-719-774-712-710-702-716-744-720-721-772-718</t>
  </si>
  <si>
    <t>Δ (777)</t>
  </si>
  <si>
    <t>ΡΟΥΣΑΚΗ</t>
  </si>
  <si>
    <t>ΑΕ960638</t>
  </si>
  <si>
    <t>732-731-766-777-786-711-713-714-716-721-717-746-747-750-751-753-756-757-773-733-734-702-709-710-712-718-719-744-748-749-752-754-755-775-772-715-736-737-738-762-703</t>
  </si>
  <si>
    <t>ΖΗΣΟΠΟΥΛΟΣ</t>
  </si>
  <si>
    <t>ΑΜ832027</t>
  </si>
  <si>
    <t>768-761-776-740-771-727-728-754-760-706-707-724-725-726-756-783-784-781-772-786-787-782-777-729-735-737-733-734-736-720-780-718-719-711-744-745-746-751-752-753-747-750-755</t>
  </si>
  <si>
    <t>ΡΟΚΟΥ</t>
  </si>
  <si>
    <t>ΚΩΣΤΑΣ</t>
  </si>
  <si>
    <t>ΑΙ310831</t>
  </si>
  <si>
    <t>739-741-743-780-742-767-763-787-779-782-724-770-728-784-706-722-760-727-766-761-781-729-759-758-777-786-778-723-771-715-732-707-783-776-740-768-730-733-734-735-736-737-738-785-716-725-726-764-765-704-705-719-755-756-754-753-752-751-750-749-748-747-757-772-773-731-744-745-746-774-775-703-702-844-709-710-711-712-713-714-717-718-720-721-762-769</t>
  </si>
  <si>
    <t>ΤΑΡΑΜΑ</t>
  </si>
  <si>
    <t>ΑΚ821107</t>
  </si>
  <si>
    <t>720-721-718-719-756-755-775-773-713-746-745-749-748-750-744-751-752-753-754-757-711-712-710-709-716-717-714-772-774-702</t>
  </si>
  <si>
    <t>ΚΑΛΑΜΙΔΑ</t>
  </si>
  <si>
    <t>ΑΑ116706</t>
  </si>
  <si>
    <t>741-770-780-771-724-707-708-762-734-757-750-776-711-713-720-721-747-769-763-781-739-742-783-733-784-773-751-753-756-746-727-728-725-714-717-706-704-844</t>
  </si>
  <si>
    <t>ΜΗΤΣΙΟΥ</t>
  </si>
  <si>
    <t>ΚΥΡΙΑΚΗ</t>
  </si>
  <si>
    <t>ΑΙ286313</t>
  </si>
  <si>
    <t>750-746-753-747-751-713-711-714-756-757-773-720-721-724-725-717-762-776-844-704-727-728-734-733-706-707-708-739-741-742-763-769-770-771-781-780-783</t>
  </si>
  <si>
    <t>ΚΑΛΑΣΟΥΝΤΑ</t>
  </si>
  <si>
    <t>ΧΑΡΙΚΛΕΙΑ</t>
  </si>
  <si>
    <t>ΑΒ396221</t>
  </si>
  <si>
    <t>703-762-764-765-844-704-705-744-746-747-748-749-750-752-751-753-754-755-756-757-774-775-709-710-711-712-713-714-716-717-718-719-720-721-733-734-735-736-737-738-702-731-732-730-708-724-725-726-740-761-760</t>
  </si>
  <si>
    <t>ΚΑΜΑΤΣΟΥ</t>
  </si>
  <si>
    <t>Χ918281</t>
  </si>
  <si>
    <t>757-756-710-746-747-748-754-755-750-751-753-767-744-745-712-711-752-713-718-717-709-719-773-772-774-775-720-721-702-737-723-733-734-735-736-738-732-731-777-785-787-780-707-704-705-703-708-706-844</t>
  </si>
  <si>
    <t>ΜΗΤΣΕΛΟΥ</t>
  </si>
  <si>
    <t>ΕΥΣΤΑΘΙΑ</t>
  </si>
  <si>
    <t>Χ105197</t>
  </si>
  <si>
    <t>757-747-702-711-844-703-713-762-724-708-706-720-721-750-734</t>
  </si>
  <si>
    <t>ΖΩΓΑΚΗ</t>
  </si>
  <si>
    <t>ΗΛΙΑΝΝΑ</t>
  </si>
  <si>
    <t>ΣΩΚΡΑΤΗΣ</t>
  </si>
  <si>
    <t>ΑΗ798062</t>
  </si>
  <si>
    <t>771-776-707-708-762-770-724-757-741-780-750-747-713-734-720-711-721</t>
  </si>
  <si>
    <t>ΚΑΛΙΝΗ</t>
  </si>
  <si>
    <t>ΣΟΦΙΑ</t>
  </si>
  <si>
    <t>ΑΝ686552</t>
  </si>
  <si>
    <t>720-714-721-751-717-713-711-746-747-750-757-756-753-773</t>
  </si>
  <si>
    <t>ΜΠΛΕΚΑ</t>
  </si>
  <si>
    <t>Χ481140</t>
  </si>
  <si>
    <t>746-747-757-756-750-753-714-713-711-751-720-721-717-733-734-762-773-706-707-708-724-725-727-704-844-728-771-776-783-784-781-763-780-769-770-742-739-741</t>
  </si>
  <si>
    <t>ΠΑΠΠΑ</t>
  </si>
  <si>
    <t>ΣΩΤΗΡΙΑ</t>
  </si>
  <si>
    <t>ΑΒ023569</t>
  </si>
  <si>
    <t>717-751-746-757-720-721-747-713-750-773-704-706-707-708-711-714-724-725-727-728-733-734-739-741-753-756-762-769</t>
  </si>
  <si>
    <t>ΤΣΟΥΚΑΛΑ</t>
  </si>
  <si>
    <t>ΒΑΣΙΛΙΚΗ ΑΙΚΑΤΕΡΙΝΗ</t>
  </si>
  <si>
    <t>Φ350812</t>
  </si>
  <si>
    <t>713-751-775-757-720-721</t>
  </si>
  <si>
    <t>ΠΑΠΑΔΑΣ</t>
  </si>
  <si>
    <t>ΣΤΥΛΙΑΝΟΣ</t>
  </si>
  <si>
    <t>ΑΙ478998</t>
  </si>
  <si>
    <t>768-726-748-749-752-754-755-773-774-775-735-736-737-738-740-723-702-709-710-712-713-714-716-717-718-719-720-721-724-725-727-728-704-844-705-706-707-708</t>
  </si>
  <si>
    <t>ΑΓΓΕΛΗΣ</t>
  </si>
  <si>
    <t>ΑΖ813404</t>
  </si>
  <si>
    <t>717-713-751-721-720-746-747-753-750-756-773-757-711-714-762</t>
  </si>
  <si>
    <t>ΒΑΣΙΛΕΙΟΥ</t>
  </si>
  <si>
    <t>Χ526587</t>
  </si>
  <si>
    <t>762-703-724-844-704-706-707-708-711-713-714-717-725-733-734-746-747-750-751-753-756-757-773-720-721-702-705-709-710-712-716-718-719-726-730-731-732-735-736-737-738-740-744-745-748-749-752-754-755-760-761-764-765-766-768-772-774-775-777-785-786</t>
  </si>
  <si>
    <t>ΛΥΡΑ</t>
  </si>
  <si>
    <t>ΜΠΛΕΡΤΑ ΜΑΡΙΑ</t>
  </si>
  <si>
    <t>ΝΙΚΟΛΑΣ</t>
  </si>
  <si>
    <t>ΑΙ563307</t>
  </si>
  <si>
    <t>717-720-721-746-719</t>
  </si>
  <si>
    <t>ΓΑΙΤΑΝΙΔΗ</t>
  </si>
  <si>
    <t>ΜΗΝΑΣ</t>
  </si>
  <si>
    <t>ΑΕ702823</t>
  </si>
  <si>
    <t>768-725-724-730-733-735-734-736-737-726-738-706-707-709-710-712-711-713-714-715-716-717-718-719-720-721-781-746-747-750-755-756-757</t>
  </si>
  <si>
    <t>ΚΑΡΑΤΑΣΙΟΥ</t>
  </si>
  <si>
    <t>ΗΡΑΚΛΕΙΑ</t>
  </si>
  <si>
    <t>ΑΜ377157</t>
  </si>
  <si>
    <t>707-706-708-724-725-726-727-728-733-734-735-736-737-738-758-760-761-768-781-783-784-785-702-703-844-704-705-709-710-711-712-713-714-715-716-717-718-719-720-721-722-723-729-730-731-732-739-740-741-742-743-744-745-746-747-748-749-750-751-752-753-754-755-756-757-759-762-763-764-765-766-767-769-770-771-772-773-774-775-776-777-778-779-780-782-786-787</t>
  </si>
  <si>
    <t>ΠΑΣΣΑ</t>
  </si>
  <si>
    <t>Χ071605</t>
  </si>
  <si>
    <t>713-717-751-755-756-757-747-746-750-745-744-753-754-709-714-749-752-773-718-719-720-721-710-716-711-712-702-774-775-772-724-725-726-777-786-731-732-708-707-844-727-728-703-705-706-762-768-764-765-733-734-735-736-737-738</t>
  </si>
  <si>
    <t>ΚΑΦΑΝΤΑΡΗΣ</t>
  </si>
  <si>
    <t>ΑΠΟΣΤΟΛΟΣ</t>
  </si>
  <si>
    <t>Χ519792</t>
  </si>
  <si>
    <t>754-749-718-745-752-748-775-744-755-772-774-702-719-709-712-716-721-746-747-750-757-753-720-751-756-773-710-713-714</t>
  </si>
  <si>
    <t>ΚΑΨΙΩΧΑ</t>
  </si>
  <si>
    <t>ΕΙΡΗΝΗ ΧΡΥΣΟΒΑΛΑΝΤΩ</t>
  </si>
  <si>
    <t>ΑΑ431492</t>
  </si>
  <si>
    <t>722-723-778-771-740-715-780-767-763-787-779-739-707-706-708-734-735-736-737-738-733-768-724-725-726-716-717-718-721-720-713-711-712-709-710-746-747-750-753-756-757-744-745-748-749-752-754-719-773-774-775-741-742-743-776-786-777-731-732-766-785-761-760-730-783-784-764-765-727-728-704-705-844-762-703-758-759-781-769-770-729-782</t>
  </si>
  <si>
    <t>ΓΙΑΝΝΟΠΟΥΛΟΣ</t>
  </si>
  <si>
    <t>ΑΕ076823</t>
  </si>
  <si>
    <t>749-720-721-752-755-757-719-744-745-750-746-747-748-751-756-754-774-777-772-717-718-716-714-709-753-711-712-713-702</t>
  </si>
  <si>
    <t>ΜΟΥΣΤΑΚΗΣ</t>
  </si>
  <si>
    <t>ΣΤΕΦΑΝΟΣ - ΑΘΑΝΑΣΙΟΣ</t>
  </si>
  <si>
    <t>ΑΚ020920</t>
  </si>
  <si>
    <t>713-750-744-752-748-718-745-749-720-747-755-757-721-711</t>
  </si>
  <si>
    <t>ΚΑΡΑΦΩΤΙΑ</t>
  </si>
  <si>
    <t>ΕΥΡΥΔΙΚΗ</t>
  </si>
  <si>
    <t>ΑΝ960835</t>
  </si>
  <si>
    <t>703-762-704-705-844-783-784-702-709-710-711-712-713-714-716-717-718-719-720-721-744-745-746-747-748-749-750-751-753-754-755-756-757-772-773-774-775-764-765-727-728-706-707-708-768-729-724-725-726-770-733-734-735-736-737-738-785-759-758-782-740-731-732-786-777-766-769-781-730-776-771-715-778-760-761-722-723-779-787-767-780-763-739-741-742-743</t>
  </si>
  <si>
    <t>ΑΠΟΣΤΟΛΟΥ</t>
  </si>
  <si>
    <t xml:space="preserve">ΒΑΣΙΛΙΚΗ </t>
  </si>
  <si>
    <t>ΑΙ788608</t>
  </si>
  <si>
    <t>762-710-711-712-713-714-716-717-718-719-720-721-744-745-746-747-748-749-750-751-752-753-754-755-756-757-764-765-774-775-844-704-705-702-703</t>
  </si>
  <si>
    <t>ΖΕΡΒΟΥ</t>
  </si>
  <si>
    <t>ΑΒ306811</t>
  </si>
  <si>
    <t>724-762-707-708-734-725-704-706-733-711-750-747-713-757-753-756-746-773-714-751-717-738-766-731-732-736-785-735-786-705-737-777-768-761-726-703-765-764-740-730-760-749-755-752-748-744-774-775-745-754-718-709-719-772-712-710-716-702-720-721</t>
  </si>
  <si>
    <t>ΤΑΤΣΗ</t>
  </si>
  <si>
    <t>ΑΙ271544</t>
  </si>
  <si>
    <t>768-708-761-776-730-706-707-781-733-734-735-736-737-738-755-746-724-725-726-711-712-713-714-709-710-702-753-752-751-744-750-749-748-747-745-717-718-716-773-757-756-754-721-720-774-772-719-785-715-740-778-771-722-723-762-704-705-844-764-765-786-766-731-732-727-728-729-769-787-780-783-784-759-763-767-779-743-741-742-739-770</t>
  </si>
  <si>
    <t>ΛΕΚΚΑΣ</t>
  </si>
  <si>
    <t>Χ396913</t>
  </si>
  <si>
    <t>762-720-721-746-747-750-751-753-756-757-773</t>
  </si>
  <si>
    <t>Δ (785)</t>
  </si>
  <si>
    <t>ΕΛΙΣΑΒΕΤ</t>
  </si>
  <si>
    <t>ΑΖ828861</t>
  </si>
  <si>
    <t>768-726-761-760-785-730-740-715-778-764-765-703-705-735-737-738-736-758-759-729-702-712-709-774-772-719-749-754-752-755-745-748-744-718-716-710-766-786-777-731-732-782-743-779-723-722-787-767-775-763-706-783-784-724-725-727-708-707-762-771-776-844-728-781-704-734-733-713-711-773-753-757-756-714-746-747-750-751-717-720-721-770-769-780-739-741-742</t>
  </si>
  <si>
    <t>ΣΩΤΗΡΟΠΟΥΛΟΣ</t>
  </si>
  <si>
    <t>ΑΒ750221</t>
  </si>
  <si>
    <t>717-753-750-714-713-711-747-751-773-757-746-720-721-733-734</t>
  </si>
  <si>
    <t>Δ (744)</t>
  </si>
  <si>
    <t>ΤΟΜΠΟΥΛΙΔΟΥ</t>
  </si>
  <si>
    <t>ΑΖ360599</t>
  </si>
  <si>
    <t>702-749-744-745-755-756-748-754-752-753-718-719-772-774-775-709-710-712-746-747-750-751-757-773-713-711-714-721-720-716-717</t>
  </si>
  <si>
    <t>ΤΣΑΝΕ</t>
  </si>
  <si>
    <t>ΣΕΛΙΝΤΑ</t>
  </si>
  <si>
    <t>ΙΖΕΤ</t>
  </si>
  <si>
    <t>ΑΝ061889</t>
  </si>
  <si>
    <t>749-748-745-750-754-752-753-713-709-712-711-714-717-718-719-720-721-746-747-757-772-774</t>
  </si>
  <si>
    <t>ΚΛΗΜΗΣ</t>
  </si>
  <si>
    <t>Φ279854</t>
  </si>
  <si>
    <t>762-716-748-709-721-718-773-720-704-703-844-757-750-751-753-744-746-747-755-754-705-717-756-745-752-749-775-713-711-712-710-714-719-774-772</t>
  </si>
  <si>
    <t>ΠΑΣΣΙΑ</t>
  </si>
  <si>
    <t>Τ466691</t>
  </si>
  <si>
    <t>734-733-746-747-717-670-711-714-713-753-773-721-720-776-724-725-704-707-708-762-844-706-727-728-739-741-742-763-769-770-771-780-781</t>
  </si>
  <si>
    <t>ΠΑΡΑΓΙΟΥΔΑΚΗ</t>
  </si>
  <si>
    <t>ΜΑΓΔΑΛΗΝΗ</t>
  </si>
  <si>
    <t>ΑΜ538275</t>
  </si>
  <si>
    <t>746-713-750-745-747-749-754-757-752-744-748-753-751-714-755-756-712-711-710-718-717-773-719-774-772-721-720-716-702</t>
  </si>
  <si>
    <t>ΜΠΑΙΡΑΚΤΑΡΗ</t>
  </si>
  <si>
    <t>ΑΑ350988</t>
  </si>
  <si>
    <t>724-725-726-781-706-707-708-709-710-711-712-713-714-702-716-717-718-719-720-721-772-773-774-775-744-745-746-747-748-749-750-751-752-753-754-755-756-757-703-704-705-715-722-723-727-728-729-730-731-732-733-734-735-736-737-738-739-740-741-742-743-758-759-760-761-762-763-764-765-766-767-768-769-770-771-776-777-778-779-780-782-783-784-785-786-787-844</t>
  </si>
  <si>
    <t>Ζιώγα</t>
  </si>
  <si>
    <t>Ελένη</t>
  </si>
  <si>
    <t>ΑΗ007503</t>
  </si>
  <si>
    <t>753-750-746-747-756-711-713-714-751-717-757-720-721-773</t>
  </si>
  <si>
    <t>ΖΑBΟΥ</t>
  </si>
  <si>
    <t>ΑΜ317126</t>
  </si>
  <si>
    <t>703-704-705-706-707-708-709-710-711-712-713-714-727-716-717-718-719-720-721-728-729-731-732-733-734-735-737-736-738-744-745-746-747-748-749-750-751-752-753-754-755-756-757-760-761-762-764-765-766-768-772-773-774-775-776-777-785-786-702</t>
  </si>
  <si>
    <t>ΜΟΥΤΑ</t>
  </si>
  <si>
    <t>ΑΙ062972</t>
  </si>
  <si>
    <t>751-713-717-710-750-757-714-711-712-702-709-744-772-756-746-747-748-752-774-716-718-745-773-719-749-754-755-753-721-720-758-733-734-735-736-737-738-844-704-705-724-725-726-762-706-707-708-768-783-784-785-703-715-730-740-760-761-776-764-765-727-728-771-778-775-722-723-759-729-781-782-786-731-732-766-777-770-739-779-743-763-769-741-742-780-787-767</t>
  </si>
  <si>
    <t>ΚΑΡΑΓΙΑΝΝΗ</t>
  </si>
  <si>
    <t>ΑΗ744949</t>
  </si>
  <si>
    <t>733-734-735-736-737-738-709-710-711-712-713-714-717-718-719-720-721-702-744-745-746-747-748-749-750-751-752-753-754-755-756-757-785-725-724-726-730-731-732-761-762-764-765-766-768-772-773-774-775-777-786-844-740-760-703-704-705-706-707-708</t>
  </si>
  <si>
    <t>ΚΑΡΑΓΙΑΝΝΟΥΛΗ</t>
  </si>
  <si>
    <t>ΑΛΕΞΑΝΔΡΑ-ΠΑΝΤΕΛΙΑ</t>
  </si>
  <si>
    <t>ΑΖ266231</t>
  </si>
  <si>
    <t>734-707-708-776-771-720-721-711-713-724-747-750-757-762-770-780-741</t>
  </si>
  <si>
    <t>ΣΤΑΜΑΤΑΚΗΣ</t>
  </si>
  <si>
    <t>ΑΝ430129</t>
  </si>
  <si>
    <t>754-755-756-720-721-745-750-744-748-749-757-753-717-775-747-746-718-710-752-751-713-711-712-714-774-709-716-719</t>
  </si>
  <si>
    <t>ΛΑΖΑΡΟΥ</t>
  </si>
  <si>
    <t>ΑΟ155067</t>
  </si>
  <si>
    <t>724-725-773-753-757-711-713-751-750-717-746-747-756-706-707-708-720-721-614-733-734-844-704</t>
  </si>
  <si>
    <t>ΣΤΕΡΓΙΑΡΟΠΟΥΛΟΥ</t>
  </si>
  <si>
    <t>ΠΑΥΛΟΣ</t>
  </si>
  <si>
    <t>Χ979988</t>
  </si>
  <si>
    <t>768-738-706-735-730-734-737-736-733-785-781-760-761-744-745-746-747-748-749-750-751-752-753-754-755-756-757-758-759-776-702-704-705-844-707-727-728-762-709-710-711-712-713-714-716-717-718-719-720-721-724-725-726-729-786-732-739-741-742-740-708-783-784-772-773-774-775-771-770-769-763-743-703-764-765-766-777-779-780</t>
  </si>
  <si>
    <t>ΘΕΟΔΩΡΟΥ</t>
  </si>
  <si>
    <t>ΑΗ271021</t>
  </si>
  <si>
    <t>702-703-704-705-706-707-708-709-710-711-712-713-714-715-716-717-718-719-720-721-722-723-724-725-726-727-728-729-730-731-732-733-734-735-736-737-738-739-740-741-742-743-744-745-746-747-748-749-750-751-752-753-754-755-756-757-758-759-760-761-762-763-764-765-766-767-768-769-770-771-772-773-774-775-776-777-778-779-780-781-782-783-784-785-786-787</t>
  </si>
  <si>
    <t>ΣΤΑΣΙΝΟΥ</t>
  </si>
  <si>
    <t>ΒΑΡΒΑΡΑ</t>
  </si>
  <si>
    <t>ΑΒ092190</t>
  </si>
  <si>
    <t>750-746-747-711-717-720-721-751-753-756-757-773-713-714-762-724-725-733-734-844-704-708-706-707-702-709-710-712-716-718-719-735-736-737-738-744-745-748-749-752-754-755-774-775-772-705-715-722-723-726-727-728-729-730-731-732-740-760-761-764-765-768-771-776-777-778-783-784-785-786-787-739-741-742-743-758-759-763-766-767-769-770-779-780-781-782-703</t>
  </si>
  <si>
    <t>ΗΛΙΑΔΟΥ</t>
  </si>
  <si>
    <t>ΑΓΓΕΛΟΣ</t>
  </si>
  <si>
    <t>ΑΜ425555</t>
  </si>
  <si>
    <t>775-763-779-777-780-782-781-787-786-769-767-766-732-731-742-741-739-743-758-759-723-722-727-729-736-737-735-733-738-785-710-711-712-713-714-717-718-719-720-721-702-709-744-745-746-747-748-749-750-751-752-753-754-755-756-757-772-773-774-740-760-761-762-764-765-768-770-771-776-778-783-784-703-844-704-705-706-707-708-715-716-724-725-726-728-730</t>
  </si>
  <si>
    <t>ΓΛΟΥΦΤΣΗ</t>
  </si>
  <si>
    <t>Χ988529</t>
  </si>
  <si>
    <t>707-708-711-713-720-721-724-734-747-750-757-762</t>
  </si>
  <si>
    <t>ΑΝΑΓΝΩΣΤΟΠΟΥΛΟΥ</t>
  </si>
  <si>
    <t>ΓΙΑΝΝΟΥΛΑ</t>
  </si>
  <si>
    <t>ΑΚ698461</t>
  </si>
  <si>
    <t>773-753-757-756-746-747-750-751-717-714-713-711-720-721-719-774-772-718-745-744-748-749-752-716-755-754-712-710-709-702</t>
  </si>
  <si>
    <t>ΕΜΒΕΡ ΟΓΛΟΥ</t>
  </si>
  <si>
    <t>ΕΡΔΕΜ</t>
  </si>
  <si>
    <t>ΜΟΥΣΤΑΦΑ</t>
  </si>
  <si>
    <t>ΑΖ900536</t>
  </si>
  <si>
    <t>771-778-734-721-720-711-713-747-750-757</t>
  </si>
  <si>
    <t>ΓΕΩΡΓΟΠΟΥΛΟΣ</t>
  </si>
  <si>
    <t>ΑΡΙΣΤΟΤΕΛΗΣ</t>
  </si>
  <si>
    <t>ΑΖ818884</t>
  </si>
  <si>
    <t>738-736-735-737-733-734-730-761-760-768-785-731-732-749-748-747-746-745-744-750-751-753-756-757-754-752-755-720-714-717-718-719-716-713-709-711-712-710-702-721-774-775-772-773-777-786-766-740</t>
  </si>
  <si>
    <t>ΜΑΡΑΚΗ</t>
  </si>
  <si>
    <t>ΑΣΠΑΣΙΑ</t>
  </si>
  <si>
    <t>ΑΙ950988</t>
  </si>
  <si>
    <t>711-713-714-746-750-751-753-717-720-721</t>
  </si>
  <si>
    <t>ΠΑΤΕΓΟΥ</t>
  </si>
  <si>
    <t>ΣΙΜΟΣ</t>
  </si>
  <si>
    <t>ΑΙ336312</t>
  </si>
  <si>
    <t>761-760-738-737-735-734-736-733-730-776-768-785-740-715-771-778-723-722-758-705-704-844-744-745-746-747-749-748-750-751-752-753-754-755-756-757-717-718-719-720-721-714-709-710-711-712-713-702-716-708-707-706-726-725-724-774-775-773-772-783-784-728-727-703-765-764-786-732-731-777-766-779-767-782-787-780-781-769-759-763-729-770-739-741-742-743</t>
  </si>
  <si>
    <t>ΖΕΥΓΟΛΗ</t>
  </si>
  <si>
    <t>ΜΑΡΙΛΕΝΑ</t>
  </si>
  <si>
    <t>Χ592403</t>
  </si>
  <si>
    <t>702-749-755-756-746-747-721-720-745-757-748-750-754-753-772-774-773-775-752-751-710-713-709-711-712-717-714-716-719-718-769-739-770-765-764-762-703-744-704-705-759-758-844</t>
  </si>
  <si>
    <t>ΣΤΑΜΑΤΟΠΟΥΛΟΣ</t>
  </si>
  <si>
    <t>ΖΗΣΗΣ</t>
  </si>
  <si>
    <t>Χ907667</t>
  </si>
  <si>
    <t>720-773-775-725-706-724-726-728-768-721-708-718-719-781-707-784-783-734-733-735-736-737-717-716-782-738-750-749-748-746-747-751-753-744-745-752-754-755-756-757-774-772-711-712-713-714-709-710-702-762-704-705-844-703-727-729-760-761-730-743-758-759-769-776-771-740-715-731-732-786-739-764-765-766-777-778-779-723-785-763-770-780-767-787-722-741-742</t>
  </si>
  <si>
    <t>ΡΟΥΣΣΟΣ</t>
  </si>
  <si>
    <t>ΑΜ756411</t>
  </si>
  <si>
    <t>703-765-762-702-719-774-775-721-720-749-748-745-744-772-754-752-753-747-757-750-746-751-709-712-711-718-716-713-773-714-717-755-756-710-724-732-731-766-777-786-705-704-844-726-768-708-707-706-738-736-737-735-733-734-764-730-725-785-787-778-723-729-761-743-758-759-760-782-767-779-740-741-739-780-771-770-776-769-783-784-742-763-722-715-727-728</t>
  </si>
  <si>
    <t>ΚΑΡΑΔΗΜΗΤΡΟΠΟΥΛΟΥ</t>
  </si>
  <si>
    <t>ΘΕΟΦΑΝΗΣ</t>
  </si>
  <si>
    <t>ΑΖ713617</t>
  </si>
  <si>
    <t>762-734-724-707-708-747-750-757-711-713-720-721</t>
  </si>
  <si>
    <t>ΑΣΗΜΑΚΟΠΟΥΛΟΥ</t>
  </si>
  <si>
    <t>Χ912836</t>
  </si>
  <si>
    <t>733-734-746-747-750-751-753-756-757-711-713-714-717-720-721-773-706-707-708-724-725-762-844-704</t>
  </si>
  <si>
    <t>ΠΑΠΑΤΟΛΙΚΑ</t>
  </si>
  <si>
    <t>ΔΙΟΝΥΣΙΟΣ</t>
  </si>
  <si>
    <t>ΑΕ841645</t>
  </si>
  <si>
    <t>735-738-737-734-733-736-757-785-744-745-746-747-748-749-750-751-752-753-754-756-755-730-731-732-740-709-710-711-712-713-714-715-716-717-718-759-766-769-777-779-781-782-786-787-763-724-725-726-729-739-741-742-743-719-720-721-722-723-758-760-761-762-771-773-774-775-776-778-780-767-768-770-783-784-702-703-844-704-705-706-708-727-728-764-765</t>
  </si>
  <si>
    <t>ΠΛΕΙΑΝΘΙΔΗΣ</t>
  </si>
  <si>
    <t>Φ133217</t>
  </si>
  <si>
    <t>721-720-775</t>
  </si>
  <si>
    <t>Δ (736)</t>
  </si>
  <si>
    <t>ΓΙΑΓΚΟΥΛΑ</t>
  </si>
  <si>
    <t>ΑΗ302810</t>
  </si>
  <si>
    <t>761-760-768-730-708-707-706-724-725-726-727-728-735-738-737-736-734-733-762-766-776-778-785-703-705-704-844-740-764-765-709-719-718-732-731-749-748-744-755-752-774-775-777-786-702-710-712-716-754-753-756-772-711-713-720-721-747-750-757-714-746-751-773-715-717-745-729-767-770-771-779-780-787-739-741-743-758-759-742-763-769-781-783-784-722-723-782</t>
  </si>
  <si>
    <t>ΧΑΡΑΤΣΗ</t>
  </si>
  <si>
    <t>ΑΖ268222</t>
  </si>
  <si>
    <t>771-776-733-734-783-784-706-707-708-727-724-725-728-781-762-844-704-770-769-763-739-741-742-711-713-714-717-720-721-746-747-750-751-753-756-757-773-780</t>
  </si>
  <si>
    <t>ΡΙΖΟΥ</t>
  </si>
  <si>
    <t>ΑΖ285316</t>
  </si>
  <si>
    <t>711-713-747-750-757-720-721-762-724-734-707-708-714-746-717-751-753-756-773-844-704-706-733-725</t>
  </si>
  <si>
    <t>ΑΡΓΥΡΗΣ</t>
  </si>
  <si>
    <t>ΑΒ554398</t>
  </si>
  <si>
    <t>720-721-717-773-714-756-757-751-750-747-746-753-713-711-726-762-706-707-708-725-724</t>
  </si>
  <si>
    <t>ΔΗΜΗΤΡΑΚΟΠΟΥΛΟΥ</t>
  </si>
  <si>
    <t>ΑΝ662467</t>
  </si>
  <si>
    <t>706-757-746-713-750-747-753-714-711-751-773-720-721-717-708-725-783-784-781-724-762-727-728-707-844-704-745-748-744-749-754-752-702-709-712-718-726</t>
  </si>
  <si>
    <t>ΠΑΠΑΘΕΟΧΑΡΗ</t>
  </si>
  <si>
    <t>ΜΑΡΙΑ-ΗΛΙΑ</t>
  </si>
  <si>
    <t>ΑΕ328911</t>
  </si>
  <si>
    <t>724-785-734-707-708-762-711-713-720-721-747-757-750-774-775-749-755-766-731-732-736-738-726-725-768-733-735-737-704-706-703-702-705-709-712-716-719-730-740-744-745-748-752-754-760-761-764-765-772-777-786-844-714-717-746-751-753-756-773-776</t>
  </si>
  <si>
    <t>ΜΑΓΓΙΡΑ</t>
  </si>
  <si>
    <t>ΑΗ922224</t>
  </si>
  <si>
    <t>711-712-754-749-745-750-746-747-744-748-713-709-751-752-753-757-772-773-774-714-702-719-718-716-710-755-756-717-720-721-775-738-737-733-735-736-734-722-723-762-724-725-726-785-703-707-708-706-704-844-705-727-730-760-761-764-765-768-778-771-783-784-715-740-767-779-728-729-759-758-769-780-787-731-732-766-777-781-782-786-739-741-742-743-763-770-776</t>
  </si>
  <si>
    <t>ΑΔΡΑΧΤΑ</t>
  </si>
  <si>
    <t>ΠΑΡΑΣΚΕΥΗ ΕΛΕΥΘΕΡΙΑ</t>
  </si>
  <si>
    <t>ΑΗ983313</t>
  </si>
  <si>
    <t>720-721-775-718-777-717-719-713-714-712-709-710-711-702-773-734-746-745-749-750-755-756-757-751-752-753-754-768-722-738-744-764-737-705-707-708-844-703-731-766</t>
  </si>
  <si>
    <t>ΑΛΙΚΑΚΟΥ</t>
  </si>
  <si>
    <t>ΑΚ373830</t>
  </si>
  <si>
    <t>718-748-772-775-746-747-720-719-757-773-755-756-753-716-721-745-709-774-754</t>
  </si>
  <si>
    <t>ΚΟΚΚΑΛΗ</t>
  </si>
  <si>
    <t>ΖΩΗ</t>
  </si>
  <si>
    <t>ΔΑΝΙΗΛ</t>
  </si>
  <si>
    <t>ΑΝ568723</t>
  </si>
  <si>
    <t>713-714-717-721-720-747</t>
  </si>
  <si>
    <t>Δ (749)</t>
  </si>
  <si>
    <t>ΑΝ952522</t>
  </si>
  <si>
    <t>749-755-745-748-752-744-718-719-754-774-772-709-712-702-716-726-765-764-768-705-738-735-737-760-730-731-750-751-746-720-757-773-713-756-762-708-707-706-704-844-725</t>
  </si>
  <si>
    <t>ΛΙΓΝΟΣ</t>
  </si>
  <si>
    <t>ΕΥΘΥΜΙΟΣ</t>
  </si>
  <si>
    <t>ΑΖ440238</t>
  </si>
  <si>
    <t>739-702-703-704-705-706-707-708-709-710-711-712-713-714-715-716-717-718-719-720-721-722-723-724-725-726-727-728-729-730-731-732-733-734-735-736-737-738-740-741-742-743-744-745-746-747-748-749-750-751-752-753-754-755-756-757-758-759-760-761-762-763-764-765-766-767-768-769-770-771-772-773-774-775-776-777-778-779-780-781-783-784-785-786-787</t>
  </si>
  <si>
    <t>ΔΡΑΝΙΔΟΥ</t>
  </si>
  <si>
    <t>Τ448252</t>
  </si>
  <si>
    <t>738-737-735-734-733-736-730-776-785-760-761-740-715-768-771-778-723-722-719-774-772-775-744-750-746-753-747-748-755-756-752-757-745-754-749-709-713-751-714-712-711-773-721-720-717-710-702-718-716-706-707-708-726-725-724-783-784-727-728-762-705-704-844-703-765-764-758-781-767-786-777-731-732-766-759-729-782-769-739-780-787-770-741-742-763-779-743</t>
  </si>
  <si>
    <t>ΜΠΑΛΑΣΚΑ</t>
  </si>
  <si>
    <t>ΑΒ412897</t>
  </si>
  <si>
    <t>ΚΑΛΑΦΑΤΗ</t>
  </si>
  <si>
    <t>ΑΔΑΜΑΝΤΙΟΣ</t>
  </si>
  <si>
    <t>ΑΗ548927</t>
  </si>
  <si>
    <t>757-744-749-754-746-747-750-748-752-702-775-720-721-753-739</t>
  </si>
  <si>
    <t>ΚΑΤΗ</t>
  </si>
  <si>
    <t>Χ286970</t>
  </si>
  <si>
    <t>703-755-756-718-746-747-750-753-745-712-711-709-710-713-773-717-716-714-757-754-752-751-749-748-744-702-719-774-775-721-720-762-765-764-705-704-844</t>
  </si>
  <si>
    <t>ΓΡΑΜΜΑΤΗΣ</t>
  </si>
  <si>
    <t>ΒΑΙΟΣ</t>
  </si>
  <si>
    <t>ΑΒ844912</t>
  </si>
  <si>
    <t>747-750-751-753-756-757-717-720-721-711-713-714-844-704-767-724-725-733-734-706-707-708</t>
  </si>
  <si>
    <t>ΓΙΑΝΝΑΚΟΥΔΑΚΗΣ</t>
  </si>
  <si>
    <t>KΩΝΣΤΑΝΤΙΝΟΣ</t>
  </si>
  <si>
    <t>ΧΡΙΣΤΟΦΟΡΟΣ</t>
  </si>
  <si>
    <t>ΑΙ094295</t>
  </si>
  <si>
    <t>720-721-713-747-750-757-711-773-753-756-746-751-717-714-775-772-774-755-749-748-752-744-718-719-754-745-710-709-712-702-716-707-708-706-704-844</t>
  </si>
  <si>
    <t>ΓΙΑΤΡΑ</t>
  </si>
  <si>
    <t>ΑΑ361623</t>
  </si>
  <si>
    <t>773-721-718-717-720-775-774-772-719-749-748-744-745-747-746-752-755-754-753-756-757-750-751-709-710-711-712-713-714-702-716</t>
  </si>
  <si>
    <t>ΣΤΑΜΑΤΗ</t>
  </si>
  <si>
    <t>ΑΜ113205</t>
  </si>
  <si>
    <t>747-757-750-746-751-713-773-745-748-749-756-721-720-752-753-755-754-774-709-718-744-702-772-712-711-719-717-714-710-716</t>
  </si>
  <si>
    <t>ΓΕΩΡΓΟΥΛΙΑΣ</t>
  </si>
  <si>
    <t>ΑΛΕΞΗΣ</t>
  </si>
  <si>
    <t>ΑΜ211966</t>
  </si>
  <si>
    <t>757-751-720</t>
  </si>
  <si>
    <t>ΓΕΩΡΓΙΑΔΟΥ</t>
  </si>
  <si>
    <t>ΧΑΡΙΚΛΕΙΑ ΕΙΡΗΝΗ</t>
  </si>
  <si>
    <t>ΑΝ757570</t>
  </si>
  <si>
    <t>740-715-771-733-734-735-736-737-738-787-786-785-784-783-782-781-780-779-778-777-776-775-774-773-772-770-769-768-767-766-765-764-763-762-761-760-759-758-757-756-755-754-753-752-751-750-749-748-747-746-745-744-743-742-741-739-732-731-730-729-728-727-726-725-724-723-722-721-720-719-718-717-716-714-713-712-711-710-709-708-707-706-705-704-703-702</t>
  </si>
  <si>
    <t>ΣΕΒΑΣΤΑΚΗ</t>
  </si>
  <si>
    <t>ΑΝ402763</t>
  </si>
  <si>
    <t>753-750-746-747-756-757-751-711-713-714-717-720-721-773-731-749-732</t>
  </si>
  <si>
    <t>ΣΕΡΠΑΝΟΣ</t>
  </si>
  <si>
    <t>ΑΖ022728</t>
  </si>
  <si>
    <t>705-704-728-751-750-744-712-748-746-747-772-774-719-749-754-745-752-753-709-757-702-710-711-713-714-775-773-755-756-716-720-721-718-722-726-730-733-735-736-737-738-740-760-761-764-765-768-785-844-706-707-708-717-725-734-762</t>
  </si>
  <si>
    <t>ΜΕΡΤΣΙΩΤΑΚΗ</t>
  </si>
  <si>
    <t>ΟΛΓΑ</t>
  </si>
  <si>
    <t>Χ480734</t>
  </si>
  <si>
    <t>706-707-708-725-724-734-733-746-747-753-756-757-751-750-762-773-781-844-704-711-713-714-717-720-721-768-760-761-730-776-758-759-726-739-735-736-737-738-709-710-712-716-718-719-772-774-775-744-745-748-749-752-754-755-785-740-771-783-784-778-723-722-715-764-765-727-728-705-703-770-729-743-741-769-742-779-780-787-763-767-731-732-766-777-786</t>
  </si>
  <si>
    <t>ΚΙΛΙΟΡΙΔΗΣ</t>
  </si>
  <si>
    <t>ΣΤΑΜΑΤΗΣ</t>
  </si>
  <si>
    <t>ΑΖ848125</t>
  </si>
  <si>
    <t>706-724-707-708-757-720-721-713-703-770-783-782-785-760-761-766-765-781-763-739-741-742</t>
  </si>
  <si>
    <t>ΝΙΚΑ</t>
  </si>
  <si>
    <t>ΜΑΡΣΕΛΑ</t>
  </si>
  <si>
    <t>ΑΝ607162</t>
  </si>
  <si>
    <t>753-754-748-757-747-746-744-745-749-750-751-752-755-756-773-774-702-709-710-711-712-713-714-716-717-718-820-721</t>
  </si>
  <si>
    <t>ΜΑΓΔΑΛΗΝΟΥ</t>
  </si>
  <si>
    <t>Φ262379</t>
  </si>
  <si>
    <t>734-733-783-784-707-708-762-713-711-747-750-757-714-717-720-721-746-751-753-756-773-770-776-771-725-728-724-844-704-706-780-769-763-739-742-741-727</t>
  </si>
  <si>
    <t>Δ (775)</t>
  </si>
  <si>
    <t>ΣΙΔΗΡΟΠΟΥΛΟΥ</t>
  </si>
  <si>
    <t>ΓΑΛΙΝΑ</t>
  </si>
  <si>
    <t>ΑΚ641698</t>
  </si>
  <si>
    <t>775-774-755-749-709-718-745-752-712-744-754-748-716-719-702-717-714-713-750-711-751-753-747-746-721-720-710-756-757-773</t>
  </si>
  <si>
    <t>ΦΩΤΑΡΑΚΗ</t>
  </si>
  <si>
    <t>ΖΩΗ-ΜΑΡΙΑ</t>
  </si>
  <si>
    <t>ΑΜ340433</t>
  </si>
  <si>
    <t>751-717-714-757-713-753-773-746-747-711-750-720-721-756</t>
  </si>
  <si>
    <t>ΓΚΕΚΑ</t>
  </si>
  <si>
    <t>ΑΖ597699</t>
  </si>
  <si>
    <t>714-713-751-750-753-711-756-757-773-746-747-720-721-702-709-710-712-716-718-719-745-748-749-754-755-774-772-717</t>
  </si>
  <si>
    <t>ΛΑΛΑ</t>
  </si>
  <si>
    <t>Χ557414</t>
  </si>
  <si>
    <t>753-746-747-757-750-744-713-748-751-752-754-749-745-711-712-719-720-721-718-709-773-755-756-714-702-716</t>
  </si>
  <si>
    <t>ΤΣΙΩΔΡΑΣ</t>
  </si>
  <si>
    <t>ΑΖ569515</t>
  </si>
  <si>
    <t>721-720-753-756-711-747-750-757-713-746-773-751-714-775-774-772-755-748-718-749-744-745-754-752-710-712-709-702</t>
  </si>
  <si>
    <t>ΜΗΤΡΟΠΟΥΛΟΥ</t>
  </si>
  <si>
    <t>ΑΟ279714</t>
  </si>
  <si>
    <t>775-720-721-718-719-773-746-747-753-750-763-748-757-751-756-752-755-745-774-772-754-717-713-709-716-711-712-702-710</t>
  </si>
  <si>
    <t>ΠΟΖΡΙΚΙΔΟΥ</t>
  </si>
  <si>
    <t>ΣΑΒΒΑΣ</t>
  </si>
  <si>
    <t>ΑΝ207828</t>
  </si>
  <si>
    <t>733-734-735-736-737-738-730-740-760-761-771-768-776-715-723-722-778-702-709-710-711-712-713-714-716-717-718-719-720-721-744-745-746-747-748-749-750-751-752-753-754-755-756-757-758-774-773-775-724-725-726-727-728-762-783-784</t>
  </si>
  <si>
    <t>ΜΠΟΥΖΑΛΑ</t>
  </si>
  <si>
    <t>Χ329320</t>
  </si>
  <si>
    <t>713-751-709-717-712-711-745-755-756-710-744-750-747-746-749-754-718-774-719-773-772-748-752-757-714-720-721-753-775</t>
  </si>
  <si>
    <t>ΚΑΡΒΟΥΝΑ</t>
  </si>
  <si>
    <t>ΕΥΘΥΜΙΑ</t>
  </si>
  <si>
    <t>Χ479353</t>
  </si>
  <si>
    <t>706-707-708-725-724-733-746-747-753-756-757-751-750-762-773-844-704-711-713-714-717-720-721-781-768-760-761-702-703-709-738-737-736-705-710-712-718-719-745-748-749-752-754-755-744-775-774-772-742-735-758-759-740-727-728-731-722-723-715-783-767-784-785-764-765-780-779-778-786-787-763-766-769-770-771-776-739-741-743-782-777</t>
  </si>
  <si>
    <t>ΔΕΡΙΖΙΩΤΗ</t>
  </si>
  <si>
    <t>ΑΚ086752</t>
  </si>
  <si>
    <t>745-746-747-748-753-744-757-719-750-749-755-756-773-774-772-754-752-709-710-711-712-713-718-717-716-714-702-751-720</t>
  </si>
  <si>
    <t>ΣΤΑΘΟΠΟΥΛΟΥ</t>
  </si>
  <si>
    <t>ΓΡΗΓΟΡΙΑ</t>
  </si>
  <si>
    <t>ΑΗ592732</t>
  </si>
  <si>
    <t>714-717-713-711-756-746-747-750-751-753-757-773-720-721-724-725-762-733-734-707-708-706-704-844-784-783-728-727-771-769-770-781-739-741-742-763-780-776</t>
  </si>
  <si>
    <t>ΑΡΓΥΡΗ</t>
  </si>
  <si>
    <t>ΑΝ849112</t>
  </si>
  <si>
    <t>768-785-726-760-761-736-737-738-730-735-764-765-705-709-710-712-752-754-755-744-745-748-749-718-719-740-733-722-774-775-756-716-706-707-708-753-757-751-746-747-750-734-725-720-721-724-714-844-704-711-713-762-786-777-766-731-732-717</t>
  </si>
  <si>
    <t>ΣΙΔΕΡΗ</t>
  </si>
  <si>
    <t>ΑΒ664439</t>
  </si>
  <si>
    <t>713-751-750-746-720-721-711-747-773-714-717-753-757-756-725-707-704-762-734-733</t>
  </si>
  <si>
    <t>ΒΟΥΡΛΙΩΤΟΥ</t>
  </si>
  <si>
    <t>ΠΑΡΘΕΝΑ</t>
  </si>
  <si>
    <t>ΑΝ776259</t>
  </si>
  <si>
    <t>771-734-733-724-725-704-762-753-844-756-746-750-747-751-757-706-707-708-711-713-714-717-769-727-728-776-773-763-770-739-720-721-741-742</t>
  </si>
  <si>
    <t>ΔΡΑΚΟΥΤΟΥ</t>
  </si>
  <si>
    <t>ΑΥΓΕΡΙΝΗ</t>
  </si>
  <si>
    <t>Χ526129</t>
  </si>
  <si>
    <t>717-718-719-773-716-753-774-772-775-720-721-702-757-748-747-746-750-744-745-749-751-752-754-713-755-756-709-711-712-710-714</t>
  </si>
  <si>
    <t>ΟΙΚΟΝΟΜΟΥ</t>
  </si>
  <si>
    <t>ΕΥΑΝΘΙΑ</t>
  </si>
  <si>
    <t>ΑΕ314294</t>
  </si>
  <si>
    <t>738-731-766-732-749-723-755-736-785-748-744-752-774-775-735-718-737-745-754-786-787-778-705-709-719-761-743-777-772-768-765-764-767-760-758-759-753-756-702-703-710-712-716-715-722-726-729-733-730-740-782-780-779-707-711-708-713-721-720-724-734-747-750-741-739-757-762-771-770-776-706-717-714-725-746-751-773-781-783-784-704-844-727-728-742</t>
  </si>
  <si>
    <t>ΒΕΡΓΗ</t>
  </si>
  <si>
    <t>ΑΙ624523</t>
  </si>
  <si>
    <t>713-709-714-710-711-712-717-718-720-721-773-744-745-746-747-748-749-750-751-752-753-754-755-756-757-702-716-719-772-774-775</t>
  </si>
  <si>
    <t>ΤΣΑΜΠΑ</t>
  </si>
  <si>
    <t>Χ594934</t>
  </si>
  <si>
    <t>712-711-710-746-756-755-713-714-709-749-754-748-752-717-745-747-744-757-750-753-751-719-702-718-775-774-772-773-716-721-720-726-708-762-706-703-707-725-727-704-705-844-765-764-786-732-731-777-738-735-736-737-724-733-768-729-785-734-759-779-730-740-769</t>
  </si>
  <si>
    <t>ΓΝΑΦΑΚΗ</t>
  </si>
  <si>
    <t>ΑΜ978800</t>
  </si>
  <si>
    <t>770-753-757-756-751-773-713-711-714-717-720-721-746-747-750-733-734-725-727-728-724-704-844-706-707-776-771-708-769-739-741-742-762-763-781-783-784-780-738-731-777-766-732-749-755-748-744-736-752-735-778-785-786-787-723-775-774-718-754-705-737-745-743-740-761-760-759-758-726-729-730-779-722-764-765-767-768-772-715-716-719-709-710-712-702-703-782</t>
  </si>
  <si>
    <t>ΚΑΡΑΔΗΜΑ</t>
  </si>
  <si>
    <t>Χ140293</t>
  </si>
  <si>
    <t>721-720-773-753-757-750-747-713-711-717-746-756-751-714</t>
  </si>
  <si>
    <t>ΠΑΤΡΑ</t>
  </si>
  <si>
    <t>ΑΑ040635</t>
  </si>
  <si>
    <t>702-709-710-711-712-713-714-716-717-718-719-720-721-744-746-747-748-749-750-751-752-753-754-755-756-757-772-773-774-775</t>
  </si>
  <si>
    <t>ΠΑΤΡΙΚΗΣ</t>
  </si>
  <si>
    <t>Χ583520</t>
  </si>
  <si>
    <t>772-774-751-713-714-711-717-746-747-750-757-720-721-707-756-724-706</t>
  </si>
  <si>
    <t>ΚΕΣΟΥΔΗ</t>
  </si>
  <si>
    <t>ΜΑΡΓΑΡΙΤΑ</t>
  </si>
  <si>
    <t>ΑΜ298699</t>
  </si>
  <si>
    <t>722-723-780-740-771-778-733-734-735-738-737-736-739-702-703-844-704-705-706-707-708-709-710-711-712-713-714-715-716-717-718-719-724-725-726-727-728-729-730-731-732-741-742-743-744-745-746-747-748-749-750-751-752-753-754-755-756-757-759-760-761-762-763-764-765-767-768-769-770-758-772-773-774-775-776-777-779-782-783-781-784-785-786-787-720-721</t>
  </si>
  <si>
    <t>ΒΛΑΧΟΣ</t>
  </si>
  <si>
    <t>ΑΙ668505</t>
  </si>
  <si>
    <t>757-750-702-774-772-744-752-747-749-748-775-745-773-719-755-756-754-713-753-720-721-711-712-751</t>
  </si>
  <si>
    <t>Δ (766)</t>
  </si>
  <si>
    <t>ΠΛΑΚΙΑ</t>
  </si>
  <si>
    <t>ΑΗ745435</t>
  </si>
  <si>
    <t>735-732-738-749-786-785-766-705-731-737-736-754-768-744-748-745-752-755-709-777-761-772-733-753-756-719-718-710-740-724-762-707-708-721-713-720-734-747-757-764-765-711-750-723-760-758-759-787-704-844-706-702-703-712-717-716-714-746-729-728-727-726-725-730-743-773-771-770-778-779-780-781-783-784-782-739-742-751-763-769-776-741</t>
  </si>
  <si>
    <t>ΑΝΘΗ</t>
  </si>
  <si>
    <t>ΑΔΑΜ</t>
  </si>
  <si>
    <t>ΑΖ859463</t>
  </si>
  <si>
    <t>771-776-733-734-781-780-783-770-784-844-704-706-707-708-739-741-742-769-762-763-727-725-728-724-721-720-711-713-717-773-751-753-757-756-746-747-750-785-786-787-777-778-779-782-772-774-775-764-765-766-767-768-758-759-760-761-752-754-755-743-744-745-748-749-736-737-738-740-730-731-732-735-726-723-722-729-714-715-716-718-719-709-710-712-705-702-703</t>
  </si>
  <si>
    <t>ΠΛΕΥΡΙΑ</t>
  </si>
  <si>
    <t>ΑΙ765073</t>
  </si>
  <si>
    <t>721-753-720-751-750-746-747-713-711-757-756-714-717-773-704</t>
  </si>
  <si>
    <t>ΣΑΚΚΑΤΟΥ</t>
  </si>
  <si>
    <t>ΦΕΒΡΩΝΙΑ</t>
  </si>
  <si>
    <t>Χ800987</t>
  </si>
  <si>
    <t>704-705-762-844-703-764-765-768-731-732-766-777-786-702-709-710-711-712-713-714-716-717-718-719-720-721-744-745-746-747-748-749-750-751-752-753-754-755-756-757-772-773-774-775-733-734-735-736-737-738-706-707-708-724-725-726-730-740-760-761-771-776-785-759-782-783-784-715-722-723-727-728-729-739-741-742-743-758-763-767-769-770-778-779-780-781-787</t>
  </si>
  <si>
    <t>ΞΙΑΡΧΟΥ</t>
  </si>
  <si>
    <t>ΑΖ070473</t>
  </si>
  <si>
    <t>702-749-775-757-753-744-748-747-745-752-712-773-774-719-720</t>
  </si>
  <si>
    <t>ΠΙΠΕΡΟΠΟΥΛΟΥ</t>
  </si>
  <si>
    <t>Χ378499</t>
  </si>
  <si>
    <t>734-706-707-708-711-713-717-720-721-728-746-747-751-773-714-756-757-724-725-727-844-704-776-771-770-763-781-780-783-784</t>
  </si>
  <si>
    <t>ΠΕΤΡΑ</t>
  </si>
  <si>
    <t>Χ061474</t>
  </si>
  <si>
    <t>724-725-726-727-728-702-710-709-711-712-713-714-715-716-717-718-719-720-721-706-707-708-703-844-704-705-729-730-731-732-733-734-735-736-737-738-739-746-747-740-741-742-743-744-745-748-749-750-751-752-753-754-755-756-757-758-759-760-761-762-763-764-765-766-767-768-769-770-771-772-773-774-775-776-777-778-779-780-781-782-783-784-785-786-787-722-723</t>
  </si>
  <si>
    <t>ΚΟΠΑΛΙΔΟΥ</t>
  </si>
  <si>
    <t>ΣΥΜΕΩΝ</t>
  </si>
  <si>
    <t>ΑΙ547283</t>
  </si>
  <si>
    <t>714-745-716-709-748-713-751-757-754-711-712-750-753-749-744-746-752-755-756-718-710-773-774-719-720-721-702-729</t>
  </si>
  <si>
    <t>ΑΔΑΜΟΥ</t>
  </si>
  <si>
    <t>ΒΗΣΣΑΡΙΑ</t>
  </si>
  <si>
    <t>ΑΚ432783</t>
  </si>
  <si>
    <t>706-707-708-734-747-704-781-844-733-750-711-713-714-717-721-720-724-725-739-741-727-728-742-751-753-756-757-762-763-784</t>
  </si>
  <si>
    <t>Δ (768)</t>
  </si>
  <si>
    <t>ΤΑΤΑΚΟΥ</t>
  </si>
  <si>
    <t>ΧΑΡΙΚΛΕΙΑ - ΜΑΡΙΑ</t>
  </si>
  <si>
    <t>ΑΗ280060</t>
  </si>
  <si>
    <t>768-781-786-777-730-724-725-733-735-736-737-734-738-702-703-704-705-706-707-708-709-710-711-712-713-714-715-716-717-718-719-720-721-726-727-728-731-732-739-740-741-742-743-744-745-746-747-748-749-750-751-752-753-754-755-756-757-758-759-760-761-762-763-764-765-766-767-769-770-771-772-773-774-775-776-778-779-780-783-784-785-787</t>
  </si>
  <si>
    <t>ΠΑΠΑΔΑΚΗ</t>
  </si>
  <si>
    <t>ΠΑΡΑΣΚΕΥΗ</t>
  </si>
  <si>
    <t>ΑΗ601418</t>
  </si>
  <si>
    <t>757-711-713-746-747-720-721-717-745-749-709-751-714-732-731</t>
  </si>
  <si>
    <t>ΜΑΝΩΛΗΣ</t>
  </si>
  <si>
    <t>ΑΕ811217</t>
  </si>
  <si>
    <t>726-725-724-727-728-702-709-703-710-711-712-713-714-715-716-717-718-719-720-721-733-734-735-736-737-738-740-744-745-746-747-748-749-750-751-752-753-754-755-756-757-760-761-762-768-772-773-774-775-785-781-704-705-706-707-708-722-723-729-730-731-732-739-741-742-743-758-759-763-764-765-766-767-769-770-771-776-786-787-777-778-779-780</t>
  </si>
  <si>
    <t>ΣΤΙΒΑΚΤΑΚΗ</t>
  </si>
  <si>
    <t>ΜΑΡΙΑΝΝΑ ΔΑΜΑΣΚΗΝΗ</t>
  </si>
  <si>
    <t>ΑΧΙΛΛΕΑΣ</t>
  </si>
  <si>
    <t>ΑΙ524123</t>
  </si>
  <si>
    <t>773-753-756-747-746-750-714-717-751-711-721-757-704-734-733</t>
  </si>
  <si>
    <t>ΠΑΣΧΑΛΙΔΗ</t>
  </si>
  <si>
    <t>ΑΖ076043</t>
  </si>
  <si>
    <t>717-718-721-720-773-715-744-745-746-747-748-749-750</t>
  </si>
  <si>
    <t>ΚΑΤΣΟΓΙΑΝΝΟΥ</t>
  </si>
  <si>
    <t>ΑΗ761450</t>
  </si>
  <si>
    <t>711-717-751-753-746-747-713-714-750-757-756-773-720-721-702-709-712-716-718-719-744-745-748-749-752-754-755-772-774-775</t>
  </si>
  <si>
    <t>ΔΗΜΟΠΟΥΛΟΥ</t>
  </si>
  <si>
    <t>ΑΕ997225</t>
  </si>
  <si>
    <t>768-724-734-707-708-711-713-720-721-747-750-757-762-706-725-726-702-709-710-714-717-733-746-751-753-756-773</t>
  </si>
  <si>
    <t>ΘΕΟΔΟΣΙΟΥ</t>
  </si>
  <si>
    <t>ΘΩΜΑΣ</t>
  </si>
  <si>
    <t>ΑΜ811075</t>
  </si>
  <si>
    <t>711-714-746-747-750-753-756-757-751-713-773-717-720-721</t>
  </si>
  <si>
    <t>ΜΠΑΧΟΥΜΗ</t>
  </si>
  <si>
    <t>ΘΕΟΝΗ</t>
  </si>
  <si>
    <t>ΕΞΑΡΧΟΣ</t>
  </si>
  <si>
    <t>ΑΒ395735</t>
  </si>
  <si>
    <t>703-844-702-704-705-706-707-708-709-710-711-712-713-714-715-716-717-718-719-720-721-722-723-724-725-726-727-728-729-730-731-732-733-734-735-736-737-738-739-740-741-742-743-744-745-746-747-748-749-750-751-752-753-754-755-756-757-758-759-760-761-762-763-764-765-766-768-769-770-771-772-773-774-775-776-777-778-779-780-781-783-784-785-787</t>
  </si>
  <si>
    <t>ΧΑΝΙΩΤΗ</t>
  </si>
  <si>
    <t>ΑΒ244164</t>
  </si>
  <si>
    <t>762-702-709-710-711-712-713-714-716-717-718-719-720-721-744-745-746-747-748-749-750-751-752-753-754-755-757-772-775-773-774-703</t>
  </si>
  <si>
    <t>ΤΟΥΡΑΣΑΝΙΔΟΥ</t>
  </si>
  <si>
    <t>ΚΩΝΣΤΑΝΤΙΝΑ ΜΑΡΙΝΑ</t>
  </si>
  <si>
    <t>ΑΙ390993</t>
  </si>
  <si>
    <t>733-734-724-725-844-704-706-707-708-773-711-713-714-717-719-720-721-746-747-750-751-753-756-757-762-740-776-771-783-784-780-781-770-739-741-742-785-737-738-735-736-702-703-705-709-710-712-716-718-726-730-731-732-744-745-748-749-752-754-755-760-761-764-766-765-768-772-774-775-777-786-715-722-723-727-728-729-787-778-779-758-759-767-769-743</t>
  </si>
  <si>
    <t>ΚΑΛΑΘΑΡΑ</t>
  </si>
  <si>
    <t>Χ375678</t>
  </si>
  <si>
    <t>702-709-711-712-714-716-717-718-719-720-721-744-745-746-747-748-749-750-751-752</t>
  </si>
  <si>
    <t>ΔΕΛΗΓΙΑΝΝΗ</t>
  </si>
  <si>
    <t>ΑΗ220048</t>
  </si>
  <si>
    <t>757-747-746-756-753-751-750-711-713-714-717-721-720-773-762-704-706-707-708-844-783-784-724-723-733-734-769-781-776-727-728-739-741-742-770-771-763-780</t>
  </si>
  <si>
    <t>ΡΑΠΤΟΥΔΗ</t>
  </si>
  <si>
    <t>Σ774067</t>
  </si>
  <si>
    <t>714-713-717-718-719-720-721-744-745-746-747-748-749-750-751-752-753-754-755-756</t>
  </si>
  <si>
    <t>Δ (743)</t>
  </si>
  <si>
    <t>ΚΟΥΜΑΝΤΖΙΑ</t>
  </si>
  <si>
    <t>ΑΗ356599</t>
  </si>
  <si>
    <t>736-737-738-785-743-744-745-748-749-731-732-735-718-723-702-705-709-710-786-787-778-703-704-706-707-708-711-712-713-714-715-716-717-719-720-721-722-724-725-726-727-728-729-730-733-734-739-740-741-742-746-747-750-751-752-753-754-755-756-757-758-759-760-761-762-763-764-765-766-767-768-769-770-771-772-773-774-775-776-777-779-780-781-782-783-784</t>
  </si>
  <si>
    <t>ΜΙΧΟΥ</t>
  </si>
  <si>
    <t>ΚΡΥΣΤΑΛΙΑ</t>
  </si>
  <si>
    <t>Χ875434</t>
  </si>
  <si>
    <t>728-727-768-706-707-708-781-760-761-734-738-736-735-737-733-785-724-725-726-730-776-784-783-705-704-844-703-762-749-748-750-747-746-745-744-751-756-752-757-755-754-753-709-710-711-712-713-714-716-717-718-719-720-775-774-772-773-702-764-765-786-766-777-731-732-740-723-722-715-771-778-779-758-782-759-787-741-742-763-729-780-770-769-767-743-739</t>
  </si>
  <si>
    <t>ΚΙΚΙΛΙΓΚΑ</t>
  </si>
  <si>
    <t>Χ952493</t>
  </si>
  <si>
    <t>776-730-761-760-734-735-733-737-738-736-785-740-715-768-771-778-723-722-724-725-726-781-756-755-753-754-744-746-749-751-750-752-747-748-745-757-710-721-720-714-717-711-712-718-709-716-713-702-772-773-774-775-719-706-707-708-728</t>
  </si>
  <si>
    <t>ΤΖΑΝΕΤΕΑ</t>
  </si>
  <si>
    <t>ΠΑΝΑΓΙΩΤΑ-ΠΑΝΑΓΟΥΛΑ</t>
  </si>
  <si>
    <t>ΑΝ978278</t>
  </si>
  <si>
    <t>711-713-714-717-746-747-750-751-753-756-757-773-720-721</t>
  </si>
  <si>
    <t>ΣΤΟΦΟΡΙΔΗΣ</t>
  </si>
  <si>
    <t>ΘΕΟΧΑΡΗΣ</t>
  </si>
  <si>
    <t>ΑΝ731283</t>
  </si>
  <si>
    <t>731-732-777-786-766-729-758-781-759-763-787-770-769-767-779-780-739-741-742-743-782-764-747-748-749-750-751-752-753-754-755-756-757-744-745-746-773-774-775-776-778-765-771-772-702-703-844-704-705-708-709-710-711-712-713-706-707-714-716-717-718-719-720-721-723-722-724-725-726-727-728-762-760-761-783-784-785-768-740-738-737-733-734-735-736-730</t>
  </si>
  <si>
    <t>ΠΑΝΑΓΟΠΟΥΛΟΥ</t>
  </si>
  <si>
    <t>Φ043815</t>
  </si>
  <si>
    <t>714-709-711-712-713-717-751-754-749-716-720-721-718-773-752-757-744-750-745-748-753-775-774-772-719-702-747-746-710-755-756</t>
  </si>
  <si>
    <t xml:space="preserve">Μαλισιόβα </t>
  </si>
  <si>
    <t xml:space="preserve">Ευγενία </t>
  </si>
  <si>
    <t xml:space="preserve">Γαβριήλ </t>
  </si>
  <si>
    <t>ΑΗ245223</t>
  </si>
  <si>
    <t>713-746-747-749-750-744-751-753-717-757-721</t>
  </si>
  <si>
    <t>ΚΑΤΣΑΝΟΥ</t>
  </si>
  <si>
    <t>ΑΝΑΤΟΛΗ ΝΑΤΑΛΙΑ</t>
  </si>
  <si>
    <t>ΑΖ240759</t>
  </si>
  <si>
    <t>742-763-780-769-770-741-739-724-781-722-723-733-704-706-707-708-711-713-714-720-721-727-728-734-746-747-750-751-753-756-757-762-771-773-776-783-784</t>
  </si>
  <si>
    <t>ΜΠΙΝΙΑΚΟΥ</t>
  </si>
  <si>
    <t>ΣΠΥΡΟ</t>
  </si>
  <si>
    <t>ΑΚ420379</t>
  </si>
  <si>
    <t>734-740-715-735-733-771-736-737-738-710-709-768-711-712-713-708-744-745-746-747-721-720-748-749-750-739-760-761-751-752-753-754-755-756-757-759-758-729-725-726-731-732-702-722-723-785-786-724-714-777-716-717-718-719-706-707-704-844-779-780-781-782-773-774-775-772</t>
  </si>
  <si>
    <t>ΞΗΡΟΚΩΣΤΑ</t>
  </si>
  <si>
    <t>ΦΩΤΕΙΝΗ</t>
  </si>
  <si>
    <t>ΑΑ025019</t>
  </si>
  <si>
    <t>752-749-718-748-745-744-755-754-702-709-774-772-719-753-756-710-712-711-747-746-750-757-713-716-770-717-751-773-714-720-775</t>
  </si>
  <si>
    <t>Δ (761)</t>
  </si>
  <si>
    <t>ΤΣΕΡΓΟΥΛΑ</t>
  </si>
  <si>
    <t>Χ978131</t>
  </si>
  <si>
    <t>751-714-709-713-710-716-711-712-719-717-720-744-745-746-747-748-749-750-752-753-754-755-756-757-773-772-774-721-702-718-706-707-708-724-725-726-727-728-733-734-735-736-737-738-768-783-784-785-778-776-771-760-761-762-740-730-723-715-703-844-704-705-764-765-781-729-731-732-739-741-742-743-758-759-763-766-767-769-770-777-779-780-782-786-787-775</t>
  </si>
  <si>
    <t>Δ (753)</t>
  </si>
  <si>
    <t>ΜΑΣΤΟΡΟΠΟΥΛΟΥ</t>
  </si>
  <si>
    <t>ΖΑΦΕΙΡΙΑ</t>
  </si>
  <si>
    <t>ΑΖ609166</t>
  </si>
  <si>
    <t>705-704-844-753-721-720-775</t>
  </si>
  <si>
    <t>Χ840355</t>
  </si>
  <si>
    <t>844-704-705-703-762-764-765-709-710-711-712-713-714-716-717-718-720-721-744-745-746-747-748-749-750-751-752-753-754-755-756-757-773-719-772-774-775-785-724-725-726-729-758-706-707-708-783-784-768-727-728-730-776-760-761-733-734-735-736-737-738-740-715-771-722-723-778-731-732-777-786-782-739-741-742-743-767-779-780-781-770-787</t>
  </si>
  <si>
    <t>ΚΑΠΙΝΙΑΡΗ</t>
  </si>
  <si>
    <t>ΗΛΙΤΣΑ</t>
  </si>
  <si>
    <t>ΑΖ732605</t>
  </si>
  <si>
    <t>713-714-717-720-721-746-747-750-751-756-757-762-773-844-704-706-707-708-711-724-725-733-734-703-702-705-709-710-712-716-718-719-726-731-732-735-736-737-738-744-745-748-749-752-753-754-755-764-765-766-772-774-775</t>
  </si>
  <si>
    <t>ΜΠΑΚΑΤΣΕΛΟΥ</t>
  </si>
  <si>
    <t>ΝΙΚΟΛΕΤΤΑ</t>
  </si>
  <si>
    <t>ΑΟ155057</t>
  </si>
  <si>
    <t>775-773-719-774-746-747-720-749-757-718-716</t>
  </si>
  <si>
    <t>ΝΑΚΟΥ</t>
  </si>
  <si>
    <t>ΑΜ196216</t>
  </si>
  <si>
    <t>711-712-713-710-709-714-746-744-748-755-756-749-753-750-754-718-716-721-720</t>
  </si>
  <si>
    <t>KURTI</t>
  </si>
  <si>
    <t>KOSTANDIN</t>
  </si>
  <si>
    <t>DANIEL</t>
  </si>
  <si>
    <t>BI1508869</t>
  </si>
  <si>
    <t>746-747-750-751-753-756-757-711-713-717-720-721-773</t>
  </si>
  <si>
    <t>ΒΛΑΣΟΠΟΥΛΟΥ</t>
  </si>
  <si>
    <t>ΔΙΟΝΥΣΙΑ</t>
  </si>
  <si>
    <t>ΑΒ831401</t>
  </si>
  <si>
    <t>729-739-741-742-763-743-769-780-723-722-767-770-779-782-787-766-778-727-728-724-725-726-703-740-771-781-783-784-785-786-777-776-768-765-764-759-758-731-732-715-707-708-706-762-761-760-730-702-744-704-705-711-713-709-710-712-714-717-716-718-719-720-721-733-734-735-738-736-737-745-746-747-748-749-750-753-751-752-756-754-755-757-772-773-774-775</t>
  </si>
  <si>
    <t>ΚΑΤΣΑΝΤΩΝΗΣ</t>
  </si>
  <si>
    <t>ΑΜ750176</t>
  </si>
  <si>
    <t>705-704-844-731-732-766-786-777-703-764-765-785-735-737-768-760-761-726-706-707-708-709-710-711-712-713-714-716-717-718-719-720-721-724-725-727-728-729-730-733-734-736-738-739-740-741-742-743-744-745-746-747-748-749-750-751-752-753-754-755-756-757-758-762-763-772-773-774-775</t>
  </si>
  <si>
    <t>ΠΑΠΑΓΙΑΝΝΗ</t>
  </si>
  <si>
    <t>ΕΥΡΙΔΙΚΗ</t>
  </si>
  <si>
    <t>ΑΒ872670</t>
  </si>
  <si>
    <t>723-722-735-778-771-740-715-705-709-710-718-719-732-733-737-744-745-748-749-752-754-756-761-768-772-777-786-787-785-776-730-734-736-738-760-781-727-728-758-724-725-726-706-707-708-702-711-712-713-714-716-717-746-747-750-751-755-757-773-774-775-783-784-759-729-782-769-762-844-704-703-764-765-770-741-742-739-743-763-780-779-731-766-720-721</t>
  </si>
  <si>
    <t>ΚΩΝΣΤΑΝΤΙΝΙΔΗΣ</t>
  </si>
  <si>
    <t>Τ797224</t>
  </si>
  <si>
    <t>733-734-735-736-737-738-776-771-844-704-763-769-770-780-781-741-742-739-724-725-731-732-783-784-762-706-707-708-711-713-714-746-747-773-750-751-753-756-757-717-720-721-727-728-730-785-740-758-759-767-779-729-723-722-743-766-777-715-786-787-760-761-726-719-705-772-774-775-778-748-749-752-754-755-744-745-709-710-712-716-718-702-764-765-768-703</t>
  </si>
  <si>
    <t>ΦΙΛΙΠΠΑΚΗ</t>
  </si>
  <si>
    <t>Χ534174</t>
  </si>
  <si>
    <t>773-751-714-717-757-746-756-747-713-750-753-711-720-721-719-718-752-775-774-749-748-754-755-772-745-744-716-702-709-710</t>
  </si>
  <si>
    <t>ΜΑΓΝΗΣΑΛΗ</t>
  </si>
  <si>
    <t>ΑΒ008537</t>
  </si>
  <si>
    <t>746-747-713-757-756-750-753-711-714-720-773-717-721-749-748-744-752-745-754-755-718-772-774-709-775-710-719</t>
  </si>
  <si>
    <t>ΣΙΜΟΥ</t>
  </si>
  <si>
    <t>ΠΕΛΑΓΙΑ</t>
  </si>
  <si>
    <t>ΑΖ429544</t>
  </si>
  <si>
    <t>719-773-774-720-721-772-775-747-746-748-749-753-755-756-757-745-750-754-744-751-752-713-714-711-712-709-710-702-716-717-739-767-764-765-770-762-787-780-786-777-766-731-732-785-726-704-705-733-734-735-736-737-738</t>
  </si>
  <si>
    <t>ΒΑΛΑΝΙΚΑ</t>
  </si>
  <si>
    <t>ΑΙ728502</t>
  </si>
  <si>
    <t>733-734-738-735-736-737-730-776-785-711-713-714-720-721-746-747-750-751-753-756-757-773-717-744-745-748-749-752-754-755-712-716-772-774-775</t>
  </si>
  <si>
    <t>Δ (754)</t>
  </si>
  <si>
    <t>ΣΠΥΡΟΠΟΥΛΟΣ</t>
  </si>
  <si>
    <t>ΓΡΗΓΟΡΗΣ</t>
  </si>
  <si>
    <t>ΑΖ566206</t>
  </si>
  <si>
    <t>710-711-749-753-754-748-744-750-745-752-709-714-772-773-774-719-746-747-717-713-751-712-718-757-756-755-705-782-775-720-721</t>
  </si>
  <si>
    <t>ΜΠΟΥΡΓΟΣ</t>
  </si>
  <si>
    <t>ΦΩΤΙΟΣ</t>
  </si>
  <si>
    <t>ΑΑ309338</t>
  </si>
  <si>
    <t>736-733-735-734-737-738-785-730-776-760-761-727-844-704-705-759-729-758-768-706-784-783-708-707-725-724-762-726-703-764-765-740-715-771-721-720-716-718-719-773-774-772-702-709-714-713-711-712-710-744-751-752-746-745-748-747-750-753-749-754-756-755-778-723-722-781-782-770-769-786-777-731-732-766-787-767-739-780-763-779-741-742-743-728-717-775</t>
  </si>
  <si>
    <t>ΠΙΠΕΡΗΣ</t>
  </si>
  <si>
    <t>Χ305694</t>
  </si>
  <si>
    <t>844-704-705-703-762-783-784-729-759-721-720-716</t>
  </si>
  <si>
    <t>ΤΡΕΜΟΥ</t>
  </si>
  <si>
    <t xml:space="preserve">ΕΥΑΓΓΕΛΙΑ </t>
  </si>
  <si>
    <t>ΑΕ798263</t>
  </si>
  <si>
    <t>711-734-732-724-713-756-757-746-750-727-762-783-784-773-769-703-705-710-777-741-759-776-721-754-733-714-785-787-706-745-708-758-778-725-766-702-751-740-712-715-730-780</t>
  </si>
  <si>
    <t>ΖΗΚΑ ΤΕΡΖΟΠΟΥΛΟΥ</t>
  </si>
  <si>
    <t>ΑΖ103367</t>
  </si>
  <si>
    <t>714-713-711-709-721-720-750-746-747-751-756-757-773-712-718-719-754-752-749-748-753-710-755-716</t>
  </si>
  <si>
    <t>ΧΑΡΑΛΑΜΠΟΠΟΥΛΟΣ</t>
  </si>
  <si>
    <t>Χ841567</t>
  </si>
  <si>
    <t>704-711-713-714-746-747-750-751-753-756-757-773-717-720-721-727-844-724-725-733-734-762-783-784-707-708-776-706-728-771-769-770-781-763-780-739-741-742</t>
  </si>
  <si>
    <t>ΚΙΤΣΟΥ</t>
  </si>
  <si>
    <t>ΑΚ117015</t>
  </si>
  <si>
    <t>756-755-753-745-718-774-746-747-748-750-716-719-709-710-711-712-713-702-751-752-754-773-772-757-744-714-717-720-721-775</t>
  </si>
  <si>
    <t>ΛΥΜΠΕΡΟΠΟΥΛΟΥ</t>
  </si>
  <si>
    <t>ΑΖ715638</t>
  </si>
  <si>
    <t>717-714-773-747-746-750-751-757-713-711-721-720-756-716-719-753-749-748-752-775-754-744-745-718-712-755-774-709-710-702-772-707-708-706-724-725-726-844-704-705-762-703-728-727-734-733-738-736-735-737-764-765-768-776-783-784-730-731-732-777-786-778-781-780-715-722-723-769-770-729-739-741-742-740-743-761-785-759-758-760-763-766-767-771-779-782-787</t>
  </si>
  <si>
    <t>ΚΟΥΤΡΗ</t>
  </si>
  <si>
    <t xml:space="preserve">ΧΡΙΣΤΙΝΑ </t>
  </si>
  <si>
    <t xml:space="preserve">ΧΡΗΣΤΟΣ </t>
  </si>
  <si>
    <t>ΑΗ724930</t>
  </si>
  <si>
    <t>756-773-746-747-751-750-714-713-711-717-720-721-706-707-725-724-708-702-703-704-705-709-710-712-715-716-718-719-722-723-726-727-728-729-730-731-732-733-734-735-736-737-738-739-740-741-742-743-744-745-748-749-752-753-754-755-757-758-759-760-761-762-763-764-765-766-767-768-769-770-771-772-774-775-776-777-778-779-780-781-782-783-784-785-786-787</t>
  </si>
  <si>
    <t>ΧΑΡΧΑΝΤΗ</t>
  </si>
  <si>
    <t>ΧΡΥΣΟΣΤΟΜΟΣ</t>
  </si>
  <si>
    <t>ΑΜ110367</t>
  </si>
  <si>
    <t>751-713-709-710-755-756-712-746-747-714-775-748-749-750-757-754-752-753-745-702-720-721-719-717-716-774</t>
  </si>
  <si>
    <t>ΔΑΛΑΜΠΙΡΑ</t>
  </si>
  <si>
    <t>ΜΑΡΙΑ ΤΡΙΑΝΤΑΦΥΛΛΙΑ</t>
  </si>
  <si>
    <t>ΑΕ657762</t>
  </si>
  <si>
    <t>733-734-735-736-737-738-785-740-715-730-760-761-768-771-776-709-710-712-713-714-718-719-720-721-744-745-746-747-748-749-750-751-752-753-754-755-756-757-758-759-763-777-779-780-781-786</t>
  </si>
  <si>
    <t>ΤΑΡΣΟΥΝΑ</t>
  </si>
  <si>
    <t>ΑΗ152991</t>
  </si>
  <si>
    <t>734-735-747-750-711-713-720-721-771-776-707-708-762</t>
  </si>
  <si>
    <t>ΔΗΜΗΤΡΟΓΛΟΥ</t>
  </si>
  <si>
    <t>ΗΡΑΚΛΗΣ</t>
  </si>
  <si>
    <t>ΑΗ548916</t>
  </si>
  <si>
    <t>709-775-720-744-745-748-749-750-752-755-754-774-719</t>
  </si>
  <si>
    <t>ΖΑΜΠΟΥΝΙ</t>
  </si>
  <si>
    <t>ΕΛΒΙΣ</t>
  </si>
  <si>
    <t>ΤΡΑΓΙΑΝ</t>
  </si>
  <si>
    <t>ΑΜ516593</t>
  </si>
  <si>
    <t>702-709-710-711-712-713-714-716-717-718-748-749-750-751-752-753-754-755-756-757-744-745-746-747-719-720-721-724-725-726-730-731-732-733-734-735-736-737-738-764-765-766-768-777-779-786-785</t>
  </si>
  <si>
    <t>ΠΙΣΤΟΛΗ</t>
  </si>
  <si>
    <t>ΑΚ748388</t>
  </si>
  <si>
    <t>750-755-756-713-746-747-720-721-751-744-757-748-749-754-745-752-718-710-714-775-786-785-780-740-738-737-736-735</t>
  </si>
  <si>
    <t>ΝΤΟΥΜΟΣ</t>
  </si>
  <si>
    <t>Χ409665</t>
  </si>
  <si>
    <t>753-757-774-719-775-709-711-712-720-721-702-710-713-714-716-717-718-744-745-746-747-748-749-750-751-752-754-755-756-773-772-785-738-737-733-734-735-736-768-776-724-725-726-781-706-707-708-760-761-762-769-771-705-704-740-844-723-703-729-730-731-732-763-764-765-766-767-782-783-784-786-787-758-759-777-778-779-780</t>
  </si>
  <si>
    <t>ΘΕΟΔΩΡΑΚΑΚΗΣ</t>
  </si>
  <si>
    <t>ΙΣΙΔΩΡΟΣ</t>
  </si>
  <si>
    <t>Χ023900</t>
  </si>
  <si>
    <t>772-774-719-773-702-775-721-720-718-744-752-753-746-747-748-749-754-751-757-745-750-713-716-717-755-756-711-712-709-714-710</t>
  </si>
  <si>
    <t>ΟΡΚΟΠΟΥΛΟΥ</t>
  </si>
  <si>
    <t>ΑΒ351723</t>
  </si>
  <si>
    <t>763-787-782-781-767-769-779-770-743-742-729-741-759-758-722-723-739-715-703-778-768-776-771-733-734-735-736-737-738-731-732-760-761-762-764-765-766-777-786-783-784-785-724-725-726-727-728-730-740-772-773-774-844-704-705-706-707-708-709-710-711-712-713-714-716-717-718-719-720-721-702-744-745-746-747-748-749-750-751-752-753-754-755-756-757</t>
  </si>
  <si>
    <t>ΜΟΥΜΟΥΓΙΑΝΝΗ</t>
  </si>
  <si>
    <t>ΑΛΙΚΗ</t>
  </si>
  <si>
    <t>ΑΖ220690</t>
  </si>
  <si>
    <t>753-786-777-731-732-766-779-768-758-759-729-704-705-717-762-844-760-761-730-737-734-735-736-740-781-738-785-784-726-724-725-765-764-776-733-707-706-783-708-727-715-771-778-723-722-709-716-702-746-747-769-739-713-712-711-750-752-780-751-748-749-703-728-742-743-741-714-745-757-763-770-718-774-773-719-787-767-772-744-754-710-756-755-775-721-720</t>
  </si>
  <si>
    <t>ΤΣΟΛΗ</t>
  </si>
  <si>
    <t>ΧΡΥΣΑ</t>
  </si>
  <si>
    <t>Ν777168</t>
  </si>
  <si>
    <t>760-761-730-738-737-736-734-733-735-768-785-740-705-704-703-762-844-765-764-748-750-745-746-747-749-751-752-754-753-755-756-757-744-709-710-711-712-714-713-718-716-774-717-773-772-719-724-725-726-702-708-707-706-721-786-731-732-777-766-776-715-758-771-723-722-727-728-778-783-784-729-759-781-767-763-779-782-770-787-741-742-739-743-769-775-720</t>
  </si>
  <si>
    <t>ΚΟΤΡΩΝΑ</t>
  </si>
  <si>
    <t>ΑΕ310325</t>
  </si>
  <si>
    <t>770-780-763-757-747-750-720-721-711-713-751-753-756-746-714-717-734-781-741-769-742-739-773-771-707-724-762-776-708-784-783-733-725-727-728-844-704-706-779-767-743-731-732-786-787-729-758-782-777-778-766-768-748-749-744-745-752-755-754-736-738-735-737-723-785-772-774-775-761-759-760-764-765-705-702-703-709-710-712-726-718-719-715-716-722-730-740</t>
  </si>
  <si>
    <t>ΘΕΟΔΩΡΑΚΟΠΟΥΛΟΥ</t>
  </si>
  <si>
    <t>ΑΗ231001</t>
  </si>
  <si>
    <t>762-757-713-747-750-711-720-721-724-708-734-707-753-704-756-714-746-751-773-725-844-733-717-706-703-765-764-705-755-710-744-754-749-709-748-745-772-752-702-774-718-719-775-712-716-726-736-738-735-737-785-777-786-731-732-766-740-730-760-761</t>
  </si>
  <si>
    <t>ΝΙΚΟΛΟΠΟΥΛΟΥ</t>
  </si>
  <si>
    <t>ΠΟΛΥΧΡΟΝΗΣ</t>
  </si>
  <si>
    <t>ΑΒ387567</t>
  </si>
  <si>
    <t>753-757-751-717-711-713-746-747-714-756-750-773-721-720</t>
  </si>
  <si>
    <t>ΑΗ220402</t>
  </si>
  <si>
    <t>702-703-704-705-706-707-708-709-710-711-712-713-714-715-716-717-718-719-720-721-722-723-724-725-726-727-728-729-730-731-732-733-734-735-736-737-739-738-740-741-742-743-744-745-746-747-748-749-750-751-752-753-754-755-756-757-758-759-760-761-762-763-764-765-766-767-768-769-770-771-772-773-774-775-776-777-778-779-780-781-782-783-784-785-786-787</t>
  </si>
  <si>
    <t>ΦΕΡΕΝΤΙΝΟΥ</t>
  </si>
  <si>
    <t>ΑΖ558261</t>
  </si>
  <si>
    <t>718-719-773-720-721-775-716-755-746-747-757-774-753-748-749-745-717-709-710-750-754-756-744-751-752-711-712-713-714</t>
  </si>
  <si>
    <t>ΠΑΠΑΓΕΩΡΓΙΟΥ</t>
  </si>
  <si>
    <t>ΑΓΓΕΛΙΚΗ-ΑΙΚΑΤΕΡΙΝΗ</t>
  </si>
  <si>
    <t>ΓΕΩΡΓΙΟΣ-ΕΥΣΤΡΑΤΙΟΣ</t>
  </si>
  <si>
    <t>ΑΑ727195</t>
  </si>
  <si>
    <t>771-741-742-769-770-763-780-762-781-739-744-704-706-707-708-724-725-727-728-783-784-776-733-734-711-713-714-717-720-721-746-747-750-751-753-756-757-773</t>
  </si>
  <si>
    <t>ΚΑΤΗΡΤΖΗ</t>
  </si>
  <si>
    <t>ΑΜ930580</t>
  </si>
  <si>
    <t>767-749-752-774-775-772-754-744-748-718-719-709-702-732-766-731-738-736-745-737-735-712-705-710-716-726-753-756-761-764-765-768-785-786-787-777-703-723-722-729-730-733-740-760-778-779-782-707-708-711-759-743-724-720-715-713-721-734-747-750-757-758-762-780-771-770-776-739-741-704-844-706-714-717-725-746-751-773-783-784-781-769-742-727-728-763</t>
  </si>
  <si>
    <t>ΚΙΟΥΡΚΟΥ</t>
  </si>
  <si>
    <t>ΟΔΥΣΣΕΥΣ</t>
  </si>
  <si>
    <t>ΑΜ059855</t>
  </si>
  <si>
    <t>718-753-717-719-773-713-789-721-775-720</t>
  </si>
  <si>
    <t>ΚΟΣΜΙΔΟΥ</t>
  </si>
  <si>
    <t>ΜΑΡΙΑ-ΔΗΜΗΤΡΑ</t>
  </si>
  <si>
    <t>ΑΑ011374</t>
  </si>
  <si>
    <t>750-747-746-757-753-756-751-713-773-711-717-720-721-714-745-748-744-749-754-752-755-702-718-719-772-774-709-776-710-712-716</t>
  </si>
  <si>
    <t>ΒΛΑΧΜΠΕΗ</t>
  </si>
  <si>
    <t>ΑΖ848526</t>
  </si>
  <si>
    <t>733-734-735-736-737-738-702-703-704-705-707-706-708-709-713-710-714-711-712-715-716-717-718-719-720-721-722-723-724-725-726-727-728-729-730-731-732-739-740-741-742-743-744-745-746-747-748-749-750-787-786-784-783-781-780-779-778-777-776-775-774-773-772-771-770-769-768-767-766-765-764-763-762-761-760-759-758-757-754-756-753-755-752-751</t>
  </si>
  <si>
    <t>ΣΑΝΤΟΡΙΝΑΙΟΥ</t>
  </si>
  <si>
    <t>ΑΗ413029</t>
  </si>
  <si>
    <t>723-722-771-733-734-720-721-717-724-725-739-741-727-728-763-769-711-713-714-707-708-704-706-844-781-780-770-776-742-747-746-750-751-753-756-757-773-762-783-784</t>
  </si>
  <si>
    <t>ΜΠΟΥΡΑΣ</t>
  </si>
  <si>
    <t>ΑΝ141967</t>
  </si>
  <si>
    <t>720-721-773-747-757-711-713-750-753-714-751-717-746-756-718-719-754-774-772-749-748-745-755-744-752-716-702-712-710-709</t>
  </si>
  <si>
    <t>Δ (786)</t>
  </si>
  <si>
    <t>ΠΑΠΑΜΑΡΓΑΡΙΤΗ</t>
  </si>
  <si>
    <t>ΑΗ285292</t>
  </si>
  <si>
    <t>768-706-707-708-711-713-714-717-720-721-724-725-844-704-733-734-746-747-750-751-753-756-757-762-773-776-785-786-731-732-702-703-709-710-712-716-718-719-705-726-730-735-736-737-738-740-744-745-748-749-752-754-755-760-761-764-765-766-772-774-775-777</t>
  </si>
  <si>
    <t>Δ (782)</t>
  </si>
  <si>
    <t>ΝΑΣΙΟΥ</t>
  </si>
  <si>
    <t>ΑΒ604428</t>
  </si>
  <si>
    <t>782-769-763-741-742-739-725-726-706-707-708-715-722-723-724-727-728-729-730-740-743-758-759-760-761-786-768-770-771-776-783-784-781-780-779-778-787-785-772-703-774-754-764-765-766-762-751-752-755-756-745-746-747-748-749-750-738-737-736-731-732-733-734-735-721-720-716-714-717-718-719-709-710-711-712-713-844-704-705-702-773-744-777-753-757-767-775</t>
  </si>
  <si>
    <t>ΤΣΑΛΗ</t>
  </si>
  <si>
    <t>ΑΖ548810</t>
  </si>
  <si>
    <t>762-702-768-711-713-750-717-751-747-724-725-721-720-714-746-757-773-733-734-844-704-753-770-769-740-764-765-726-774-748-745-752-749-754-744-712-718-719-772-705-738-737-735-736-766-731-732-786-777-716-741-742</t>
  </si>
  <si>
    <t>ΜΙΧΑΛΟΠΟΥΛΟΥ</t>
  </si>
  <si>
    <t>ΑΗ218156</t>
  </si>
  <si>
    <t>704-844-711-713-714-717-720-721-733-734-746-747-750-751-753-756-757-773-781-784-770-776-769-741-725-727-728-724-708-705-706-707</t>
  </si>
  <si>
    <t>ΒΛΑΧΟΥ</t>
  </si>
  <si>
    <t>Φ299615</t>
  </si>
  <si>
    <t>768-776-733-734-730-735-736-737-738-724-725-726-760-761-785-706-707-708-702-717-718-719-720-721-744-745-746-747-748-749-750-751-752-753-754-755-756-757-772-773-774-775-709-710-711-712-713-714</t>
  </si>
  <si>
    <t>ΖΑΦΕΙΡΟΠΟΥΛΟΥ</t>
  </si>
  <si>
    <t>ΑΗ706542</t>
  </si>
  <si>
    <t>702-711-712-746-747-748-753-757-754-749-750-751-752-718-745-755-756-773-774-719-713-709-710-744-714-720-721-772</t>
  </si>
  <si>
    <t>ΒΙΡΒΙΛΗΣ</t>
  </si>
  <si>
    <t>ΜΑΡΙΝΟΣ</t>
  </si>
  <si>
    <t>ΑΟ135496</t>
  </si>
  <si>
    <t>720-721-713-717-750-714-751-757-746-747-753-773-752-719-748-744-712-749-754-774-775-711-772-718-745-756-755</t>
  </si>
  <si>
    <t>ΜΠΡΟΥΖΟΥΚΗ</t>
  </si>
  <si>
    <t>ΚΩΝΣΤΑΝΤΙΑ ΑΙΚΑΤΕΡΙΝΗ</t>
  </si>
  <si>
    <t>Φ265351</t>
  </si>
  <si>
    <t>768-733-734-735-736-737-738-760-761-740-781-762-785-774-772-775-719-709-710-711-712-713-714-716-717-718-720-721-702-758-715-773-744-745-746-747-748-749-750-751-752-753-754-755-756-757-759-730-727-724-725-726-728-706-707-708-764-765-771-703-704-705-731-732-766-777-784-786-783-778-722-723-729-743-742-741-739-769-770-776-779-787-767-780-763</t>
  </si>
  <si>
    <t>ΣΠΙΘΑΣ</t>
  </si>
  <si>
    <t>ΑΜ513408</t>
  </si>
  <si>
    <t>713-712-711-709-718-751-749-748-745-752-747-746-750-753-754-757-756-755-702-710-719-714-716-717-773-774-772-721-720-744-725-726</t>
  </si>
  <si>
    <t>ΜΠΑΝΑΛΗ</t>
  </si>
  <si>
    <t>ΑΝ333066</t>
  </si>
  <si>
    <t>768-781-733-734-735-736-737-738-785-730-776-760-761-707-708-706-783-784-726-725-724-727-728-762-704-705-844-740-715-771-778-723-703-722-765-764-769-758-729-759-742-741-743-732-731-777-779-770-766-739-763-780-767-716-717-718-719-720-721-709-710-711-712-713-714-702-772-773-774-775-745-746-747-748-749-750-751-752-753-754-755-756-757-744-786-787</t>
  </si>
  <si>
    <t>ΜΙΖΑΚΟΥ</t>
  </si>
  <si>
    <t>ΕΥΔΟΞΙΑ ΜΑΡΙΑ</t>
  </si>
  <si>
    <t>ΤΖΕΖΜΗ</t>
  </si>
  <si>
    <t>ΑΙ838784</t>
  </si>
  <si>
    <t>768-760-761-736-737-738-734-735-733-785-699-776-730-740-715-744-745-746-747-749-750-748-751-752-753-754-755-756-757-709-710-711-712-713-714-720-721-716-717-718-719-702-772-773-774-775-759-781-729-758-783-727-741-742-739-763-787-767-769-770-779-780-782-771-778-728-784-724-725-726-706-844-704-705-708-707-764-765-703-762-723-722-732-731-786-766-777</t>
  </si>
  <si>
    <t>Παπανικου</t>
  </si>
  <si>
    <t>Γεωργία</t>
  </si>
  <si>
    <t>Νικόλαος</t>
  </si>
  <si>
    <t>ΑΚ330021</t>
  </si>
  <si>
    <t>753-757-746-747-748-749-750-744-751-752-754-755-756-709-719-720-721-772-773-774-775-702-710-714-718-717-716-704-844-705-726-727-728-724-768-725</t>
  </si>
  <si>
    <t>ΣΠΑΝΟΣ</t>
  </si>
  <si>
    <t>ΑΜ364780</t>
  </si>
  <si>
    <t>707-724-708-725-706-844-704-714-717-720-721-733-734-746-747-750-751-753-756-757</t>
  </si>
  <si>
    <t>ΛΕΝΤΖΑ</t>
  </si>
  <si>
    <t>ΑΒ221688</t>
  </si>
  <si>
    <t>775-768-720-773-772-706-721-774-719-781-784-702-703-704-705-707-708-709-710-711-712-713-714-715-716-717-718-722-723-724-725-726-727-728-729-730-731-732-733-734-735-736-737-738-739-740-741-742-743-744-745-746-747-748-749-750-751-752-753-754-755-756-757-758-759-760-761-762-763-764-765-766-767-769-770-771-776-777-778-779-780-782-783-785-786-787-844</t>
  </si>
  <si>
    <t>Ρ113494</t>
  </si>
  <si>
    <t>711-713-747-753-746-717-750-751-757-756-720-721</t>
  </si>
  <si>
    <t>ΕΥΓΕΝΙΑ</t>
  </si>
  <si>
    <t>ΑΒ604527</t>
  </si>
  <si>
    <t>768-738-736-737-766-774-775-786-785-764-765-755-754-752-744-745-748-749-750-731-733-734-735-720-721-724-719-714-715-716-717-718-702-703-844-704-705-706-707-708-709-710-711-712-713-740-725-730-732-746-747-751-753-756-757-760-761-762-771-772-773-777-722-723-727-739-741-742-743-758-759-763-767-769-770-776-778-779-780-781</t>
  </si>
  <si>
    <t>ΚΑΡΤΑΛΗ</t>
  </si>
  <si>
    <t>ΑΒ130585</t>
  </si>
  <si>
    <t>737-735-738-734-733-736-740-730-715-785-760-761-768-723-722-748-749-750-747-710-711-712-713-716-718-719-702-745-746-753-754-755-756-757-772-774-714-773-717-744-751-752-709-720-721-724-725-726-786-777-731-732-766-706-707-708-703-704-762-705-764-765-775</t>
  </si>
  <si>
    <t>ΓΙΑΝΝΑΚΟΠΟΥΛΟΥ</t>
  </si>
  <si>
    <t>ΛΑΜΠΡΙΝΗ</t>
  </si>
  <si>
    <t>ΑΖ062087</t>
  </si>
  <si>
    <t>717-709-710-711-712-713-714-716-719-720-721-744-745-746-747-748-749-750-751-752-753-754-755-756-757-772-773-774-775-702-762</t>
  </si>
  <si>
    <t>ΘΕΟΔΟΥΛΙΔΟΥ</t>
  </si>
  <si>
    <t xml:space="preserve">'ΟΛΓΑ </t>
  </si>
  <si>
    <t>ΑΙ712908</t>
  </si>
  <si>
    <t>710-711-712-755-756-746-747-749-754-714-709-748-702-752-713-750-716-745-751-757-718-717-753-744-773-774-772-719-736-737-734-738-735-733-785-730-768-724-725-726-762-707-708-706-760-761-776-740-715-764-765-704-703-783-784-723-771-778-727-728-844-782-731-732-786-777-766-769-729-758-767-780-763-779-759-787-781-739-770-741-742-743-722-721-720</t>
  </si>
  <si>
    <t>ΜΑΥΡΟΓΕΩΡΓΗ</t>
  </si>
  <si>
    <t>ΑΒ630694</t>
  </si>
  <si>
    <t>752-746-754-750-757-749-744-747-755-756-718-748-753-745-751-711-712-772-774-713-710-709-702-714-719-720-721</t>
  </si>
  <si>
    <t>ΝΤΟΥΛΑ</t>
  </si>
  <si>
    <t>ΑΑ967179</t>
  </si>
  <si>
    <t>768-781-724-725-726-727-728-739-759-758-743-737-736-738-733-707-708-734-735-710-709-713-714-716-718-719-721-745-746-747-748-749-750-752-753-754-755-756-722-723-729-730</t>
  </si>
  <si>
    <t>ΒΑΦΕΙΩΤΗ</t>
  </si>
  <si>
    <t>ΑΕ933818</t>
  </si>
  <si>
    <t>711-713-714-717-720-721-733-734-746-747-750-751-753-756-757-773</t>
  </si>
  <si>
    <t>ΜΟΥΓΚΟΛΙΑ</t>
  </si>
  <si>
    <t>Χ652099</t>
  </si>
  <si>
    <t>702-709-710-711-712-713-714-716-717-718-719-720-721-744-745-746-747-748-749-750-751-752-753-754-755-756-757-772-773-774</t>
  </si>
  <si>
    <t>ΚΟΥΚΟΥΖΕΛΗ</t>
  </si>
  <si>
    <t>ΑΒ431196</t>
  </si>
  <si>
    <t>749-748-750-747-745-753-754-746-757-755-756-718-751-702-711-712-713-752-709-716-710-720-721-714-772-774-773-775-735-737-736-738-734-733-724-726-725-762-768-771-776-730-781-732-731-727-729-739-743-741-770-769-763-759-758-785-779-782-780-786-787-740-742-704-705-707-708-706-715-703-760-778-777-765-764-767-766-844-783-784-761-728-723</t>
  </si>
  <si>
    <t>ΑΛΕΞΑΝΔΡΗ</t>
  </si>
  <si>
    <t>ΣΤΥΛΙΑΝΗ</t>
  </si>
  <si>
    <t>ΑΙ281305</t>
  </si>
  <si>
    <t>787-724-770-726-725-707-708-720-721-734-757-762-747-750-844-704-706-711-713-714-717-733-739-746-751-753-773-741-742-756-763-769-771-776-780-781-783-784-702-703-705-709-710-715-716-718-719-722-723-727-728-729-730-731-764-765-766-767-768-772-774-775-777-778-779-782-785-786-732-735-738-736-737-743-744-745-740-748-749-752-754-755-758-759-760-761</t>
  </si>
  <si>
    <t>ΦΙΛΑΝΘΗ-ΠΑΡΑΣΚΕΥΗ</t>
  </si>
  <si>
    <t>ΑΙ284687</t>
  </si>
  <si>
    <t>707-708-706-724-725-734-711-713-747-750-751-753-756-757-773-762-704-720-721-776-783-784-771</t>
  </si>
  <si>
    <t>ΧΑΡΑΛΑΜΠΑΚΗΣ</t>
  </si>
  <si>
    <t>ΑΙ126010</t>
  </si>
  <si>
    <t>721-720-719-718-717-716-775-774-709-710-711-712-713-714-773-772-753-754-752-751-744-745-746-747-748-749-750-702-757-756-755</t>
  </si>
  <si>
    <t>ΤΣΟΥΡΑΠΑ</t>
  </si>
  <si>
    <t>ΑΒ075634</t>
  </si>
  <si>
    <t>729-704-705-844-703-764-765-770-759-783-784-758-762-724-725-726-782-706-707-708-727-728-768-781-733-734-735-736-737-738-785-740-730-760-761-715-778-771-722-723-731-732-786-766-777-779-780-763-787-767-702-716-710-709-711-712-713-714-717-718-720-721-773-744-745-746-747-748-749-750-751-753-752-754-755-756-757-719-772-774-775-776-769-743-741-742-739</t>
  </si>
  <si>
    <t>ΠΑΠΑΔΗΜΗΤΡΙΟΥ</t>
  </si>
  <si>
    <t>ΑΙ333786</t>
  </si>
  <si>
    <t>732-733-735-734-737-768-781-786-777-780-763-769-770-787-776-761-762-771-742-705-844-704-706-707-708-724-725-741-739-783-784-709-710-711-713-717-720-721-744-745-746-748-749-752-753-756-747-750-751-754-757-772-773</t>
  </si>
  <si>
    <t>ΚΟΥΜΠΟΥΛΑ</t>
  </si>
  <si>
    <t>ΔΗΜΗΤΕΡ</t>
  </si>
  <si>
    <t>ΑΜ198290</t>
  </si>
  <si>
    <t>746-747-750-753-756-757-751-711-714-717-720-713</t>
  </si>
  <si>
    <t>ΜΙΖΑΛΟΥ</t>
  </si>
  <si>
    <t>ΚΑΛΛΙΡΡΟΗ</t>
  </si>
  <si>
    <t>ΑΗ220399</t>
  </si>
  <si>
    <t>704-705-727-718-721-755-756-744-745-746-748-750-753-717-754-711-709-713-714-749-752-757-710-751-702-719-720-774-772-733-734-736-737</t>
  </si>
  <si>
    <t>ΜΙΧΑΣ</t>
  </si>
  <si>
    <t>ΑΖ723627</t>
  </si>
  <si>
    <t>709-710-711-712-713-714-716-717-719-720-721-744-745-746-747-748-749-750-751-752-753-754-755-756-757-772-773-774-775-702-762</t>
  </si>
  <si>
    <t>ΚΥΡΟΥ</t>
  </si>
  <si>
    <t>ΑΕ339553</t>
  </si>
  <si>
    <t>762-708-707-706-776-787-786-785-784-783-781-780-779-778-777-775-774-773-772-771-770-769-768-767-766-765-764-763-761-760-759-758-757-756-755-754-753-752-751-750-749-748-747-746-745-744-743-742-741-740-739-738-737-736-735-734-733-732-731-730-729-728-727-726-725-724-723-722-721-720-719-718-717-716-715-714-713-712-710-709-705-704-703-702</t>
  </si>
  <si>
    <t>ΧΟΛΗ</t>
  </si>
  <si>
    <t>ΑΙ691757</t>
  </si>
  <si>
    <t>704-844-783-784-762-724-725-727-728-706-707-708-746-747-757-750-713-751-711-714-756-753-773-769-739-741-742-763-770-780-781-776-771-717-720-721</t>
  </si>
  <si>
    <t>ΚΟΥΤΡΟΥΛΟΥ</t>
  </si>
  <si>
    <t>ΑΒ910041</t>
  </si>
  <si>
    <t>740-771-715-737-738-736-734-735-733-785-723-778-722-786-758-759-729-779-763-781-777-746-747-745-749-750-748-753-754-755-756-757-752-751-744-710-711-712-713-709-716-718-719-717-773-702-714-774-772-775-721-720-776-760-761-739-731-732-767-769-787-743-741-742-770-780-766-703-844-704-705-706-707-708-724-725-726-727-728-730-762-764-765-768-783-784-782</t>
  </si>
  <si>
    <t>ΚΑΡΑΓΚΙΟΖΙΔΟΥ</t>
  </si>
  <si>
    <t>ΑΝ759938</t>
  </si>
  <si>
    <t>735-734-736-738-733-737-749-718-719-744-745-748-752-754-755-757-756-772-774-775-773-702-746-753-709-710-711-712-713-716-714-717-720-721-747-750-751-785-763-776-786-777-740-731-732-715-766-703-844-704-705-706-707-708-722-723-724-725-726-727-728-730-760-761-762-764-765-768-771-778-783-784-729-739-741-742-743-758-759-767-769-770-779-780-781-787-782</t>
  </si>
  <si>
    <t>ΜΑΡΑ</t>
  </si>
  <si>
    <t>Ρ253871</t>
  </si>
  <si>
    <t>721-720-716-718-717-773-744-745-746-747-748-749-750-751-752-753-754-755-756-757-772-774-775-719-714-702-709-710-711-712-713-703-762-764-765-705-704-844-707-706-708-724-725-726-730-733-734-735-736-737-738-785-768-731-732-766-777-786-761-760-740-758-759-783-784-727-728-739-729-779-715-776-771-778-722-723-780-781-782-741-742-763-767-769-770-743-787</t>
  </si>
  <si>
    <t>ΚΑΤΟΥΡΤΣΙΔΗ</t>
  </si>
  <si>
    <t>Τ086367</t>
  </si>
  <si>
    <t>716-717-718-773-719-720-746-747-775-753</t>
  </si>
  <si>
    <t>ΓΚΟΥΤΖΙΝΑ</t>
  </si>
  <si>
    <t>Φ026874</t>
  </si>
  <si>
    <t>750-773-746-711-713-714-717-751-753-756-757-747-720-721</t>
  </si>
  <si>
    <t>ΥΦΑΝΤΙΔΟΥ</t>
  </si>
  <si>
    <t>ΑΗ677351</t>
  </si>
  <si>
    <t>733-734-735-736-737-738-776-730-785-715-740-760-761-778-771-768-727-728-783-784-722-723-724-725-726-762-704-705-844-706-707-708-703-764-765-766-719-772-774-775-702-709-710-711-712-713-714-716-744-745-746-773-717-718-720-721-747-748-749-750-751-752-753-754-755-756-757-767-786-787-781-731-732-777-758-759-729-739-741-743-769-770-763-780-779</t>
  </si>
  <si>
    <t>ΖΕΡΒΑ</t>
  </si>
  <si>
    <t>ΓΑΡΥΦΑΛΛΙΑ</t>
  </si>
  <si>
    <t>ΑΕ482930</t>
  </si>
  <si>
    <t>751-752-753-754-756-757-702-713-709-718-720-721-744-745-746-747-748-749-750-711-710-714-716-717-724-725-726-772-773-774-775-844-704-705</t>
  </si>
  <si>
    <t>ΚΟΝΤΟΜΗΤΡΟΥ</t>
  </si>
  <si>
    <t>ΑΟ034575</t>
  </si>
  <si>
    <t>721-720-753-757-750-746-747-751-756-773-714-713-711-702-748-749-754-719-772-774-745-744-752-718-709-710-712-775-755</t>
  </si>
  <si>
    <t>ΚΑΡΑΓΕΩΡΓΗΣ</t>
  </si>
  <si>
    <t>Χ082268</t>
  </si>
  <si>
    <t>757-773-711-720-717-750-746-713-714-747-756-751-744-748-749-712-745-752-772-754-718-726-782-704</t>
  </si>
  <si>
    <t>ΜΑΚΡΗ</t>
  </si>
  <si>
    <t>ΖΗΛΔΑ ΑΣΗΜΙΝΑ</t>
  </si>
  <si>
    <t>Χ001708</t>
  </si>
  <si>
    <t>711-753-757-713-714-717-746-747-750-751-756-720-721-773</t>
  </si>
  <si>
    <t>ΦΕΙΖΑΙ</t>
  </si>
  <si>
    <t>ΕΛΟΝΑ</t>
  </si>
  <si>
    <t>ΜΠΟΥΓΙΑΡ</t>
  </si>
  <si>
    <t>AM559276</t>
  </si>
  <si>
    <t>720-719-721-718-716-773-753-746-747-748-749-750-751-752-754-755-756-757-774-775</t>
  </si>
  <si>
    <t>ΠΑΝΑ</t>
  </si>
  <si>
    <t>ΘΕΟΔΩΡΑ-ΜΑΡΙΑ</t>
  </si>
  <si>
    <t>ΑΕ787193</t>
  </si>
  <si>
    <t>749-744-713-757-729-774-718-746-745-752-709-710-756-748-792-754-753-720-719-714</t>
  </si>
  <si>
    <t>ΠΕΡΔΙΚΑΡΗ</t>
  </si>
  <si>
    <t>ΜΑΡΙΚΑ-ΑΘΑΝΑΣΙΑ</t>
  </si>
  <si>
    <t>ΑΒ080477</t>
  </si>
  <si>
    <t>738-731-766-749-723-755-736-752-744-748-774-775-735-785-786-787-705-778-737-718-719-761-703-762-764-765-702-720-721-722-724-725-726-727-728-729-730-732-733-734-739-740-741-742-743-745-746-747-750-751-753-754-756-757-758-759-760-763-767-768-769-770-771-772-773-776-777-779-780-781-782-783-784</t>
  </si>
  <si>
    <t>ΣΑΒΒΙΔΗΣ</t>
  </si>
  <si>
    <t>ΑΗ874043</t>
  </si>
  <si>
    <t>734-735-736-737-738-733-720-721-719-718-717-716-745-746-747-748-749-750-751-752-753-754-755-756-757-773-774-775-758-739-740-771-742-743-763-766</t>
  </si>
  <si>
    <t>ΚΥΡΟΜΙΤΗ</t>
  </si>
  <si>
    <t>ΑΕ092166</t>
  </si>
  <si>
    <t>749-744-748-774-752-754-718-745-709-719-712-702-753-713-711-747-746-751-757-714-750-773-717-755-756-716-721-720-710-775</t>
  </si>
  <si>
    <t>ΒΑΡΟΤΣΗ</t>
  </si>
  <si>
    <t>ΑΒ280406</t>
  </si>
  <si>
    <t>773-720-721-753-746-747-750-756-757-751-717-713-711-714-762-704-844-724-725-784-707-708-783-706-727-728-734-733-770-781-776-771-769-763-742-741-739-780</t>
  </si>
  <si>
    <t>ΜΠΑΡΔΑ</t>
  </si>
  <si>
    <t>ΝΙΚΗ</t>
  </si>
  <si>
    <t>ΑΝ863294</t>
  </si>
  <si>
    <t>768-730-769-738-736-770-737-733-734-735-726-740-785-744-772-711-712-717-745-748-749-755-752-718-754-760-761-731-732-709-715-716-719-786-777-774-704-705-703-766-764-765-781-784-758-759-778-779-787-753-706-743-708-707-729-714-724-725-722-723-844-713-746-747-750-751-757-756-762-727-728-742-741-767-720-721-771-773-776-780-783-763</t>
  </si>
  <si>
    <t>ΣΠΗΛΙΩΤΟΠΟΥΛΟΥ</t>
  </si>
  <si>
    <t>ΣΠΗΛΙΟΣ</t>
  </si>
  <si>
    <t>ΑΗ204925</t>
  </si>
  <si>
    <t>844-704-705-702-706-707-708-709-710-711-712-713-714-716-717-718-719-720-721-729-744-745-746-747-748-749-750-751-752-753-754-755-756-757-762-772-773-774-775</t>
  </si>
  <si>
    <t>ΚΟΥΜΕΝΤΣΙΟΥ</t>
  </si>
  <si>
    <t>ΑΚ885645</t>
  </si>
  <si>
    <t>734-733-740-736-735-785-737-738-702-746-747-756-757-773-750-751-713-714-711-745-744-718-749-719-752-748-754-772-774-753-755-775-709-720-721-716-717-712-710-722</t>
  </si>
  <si>
    <t>ΚΑΡΔΑΝΗ</t>
  </si>
  <si>
    <t>ΑΜ789379</t>
  </si>
  <si>
    <t>734-733-736-738-737-735-780-787-767-779-781-782-769-763-759-758-741-739-742-728-729-776-768-785-740-730-727-715-760-761-778-786-766-777-731-732-743-770-724-723-771-703-706-784-783-844-722-765-707-708-704-705-725-726-762-764-745-757-753-756-755-702-752-746-747-750-749-748-744-721-720-716-717-718-714-719-713-712-711-710-709-751-754-772-773-774-775</t>
  </si>
  <si>
    <t>ΕΥΣΤΑΘΙΟΣ</t>
  </si>
  <si>
    <t>Φ267361</t>
  </si>
  <si>
    <t>768-708-707-706-726-725-724-730-760-761-737-738-733-735-734-736-753-709-714-718-710-711-713-712-717-720-721-757-756-747-746-750-751-755-748-749-744-745-752-754-774-772-775-773-719-702-785-740-716-705-704-762-703-844-765-764-732-731-777-766</t>
  </si>
  <si>
    <t>ΠΕΤΡΙΔΟΥ</t>
  </si>
  <si>
    <t>ΑΙΜΙΛΙΑ</t>
  </si>
  <si>
    <t>ΑΖ318572</t>
  </si>
  <si>
    <t>730-768-733-734-735-737-738-736-785-760-740-771-722-723-715-779-743-777-786-766-761-780-781-783-758-759-767-769-729-724-725-726-763-770-784-782-787-778-741-764-765-762-727-728-708-706-707-704-703-702-709-710-711-712-713-714-716-717-718-719-720-721-744-745-746-747-748-749-750-751-752-753-754-755-756-757-772-773-774-775</t>
  </si>
  <si>
    <t>ΑΝΑΣΤΑΣΙΟΥ</t>
  </si>
  <si>
    <t>ΞΑΝΘΗ</t>
  </si>
  <si>
    <t>ΛΑΖΑΡΟΣ</t>
  </si>
  <si>
    <t>ΑΖ785480</t>
  </si>
  <si>
    <t>768-733-734-735-736-737-738-760-761-783-784-727-708-785-740-715-730-758-776-781-702-709-710-711-713-714-716-717-718-719-720-721-744-745-746-747-748-749-750-751-752-753-754-755-757-772-773-774-775</t>
  </si>
  <si>
    <t>ΣΟΥΦΛΕΡΟΥ</t>
  </si>
  <si>
    <t>Π249320</t>
  </si>
  <si>
    <t>727-783-784-706-707-708-702-709-710-711-714-713-712-716-718-719-720-721-724-725-726-744-745-746-748-749-750-751-752-753-754-755-756-757-717-775-774-773-772-768</t>
  </si>
  <si>
    <t>ΚΑΡΑΓΙΑΝΝΗΣ</t>
  </si>
  <si>
    <t>ΑΝ731515</t>
  </si>
  <si>
    <t>734-735-736-737-738-720-721-747-750-757-713-711-724-762-741-780-782-702-703-704-705-706-707-708-709-710-844</t>
  </si>
  <si>
    <t>ΛΕΝΤΖΗ</t>
  </si>
  <si>
    <t>ΑΚ110079</t>
  </si>
  <si>
    <t>753-757-750-711-775-746-720-721-717-751-713-772-774-719-773-718-716-752-745-748-747-744-749-754-714-712-709</t>
  </si>
  <si>
    <t>ΤΣΑΜΑΔΙΑ</t>
  </si>
  <si>
    <t xml:space="preserve">ΔΗΜΗΤΡΑ </t>
  </si>
  <si>
    <t xml:space="preserve">ΣΠΥΡΙΔΩΝ </t>
  </si>
  <si>
    <t>ΑΖ108028</t>
  </si>
  <si>
    <t>753-757-756-750-751-747-746-773-755-772-774-719-718-748-745-744-749-754-752-711-712-713-709-717-720-721-714</t>
  </si>
  <si>
    <t>ΚΑΛΚΑΝΗ</t>
  </si>
  <si>
    <t>ΕΠΙΧΑΡΙΣ</t>
  </si>
  <si>
    <t>ΑΙ206379</t>
  </si>
  <si>
    <t>704-705-844-729-762-758-759-768-703-702-706-707-708-709-710-711-712-713-714-716-717-718-719-720-721-724-725-726-727-728-730-744-745-746-747-748-749-750-751-752-753-754-755-756-757-764-765-761-763-772-773-774-775-766-767-769-776-777-785-786-787</t>
  </si>
  <si>
    <t>ΣΙΩΖΙΟΥ</t>
  </si>
  <si>
    <t>ΠΑΥΛΙΝΑ</t>
  </si>
  <si>
    <t>ΑΗ739249</t>
  </si>
  <si>
    <t>753-720-721-713-750-746-747-751-757-773-711-714-716-717-775-718-745-748-749-754-712-709-744-719-772-774</t>
  </si>
  <si>
    <t>ΧΑΤΖΗ</t>
  </si>
  <si>
    <t>ΣΤΕΛΛΑ ΦΑΙΔΡΑ</t>
  </si>
  <si>
    <t>ΑΒ000082</t>
  </si>
  <si>
    <t>711-713-714-717-720-721-746-747-750-751-753-756-757-762</t>
  </si>
  <si>
    <t>ΒΑΣΙΛΟΓΛΟΥ</t>
  </si>
  <si>
    <t>ΑΙ847483</t>
  </si>
  <si>
    <t>727-734-735-736-737-738-785-715-740-768-760-776-771-778-722-723-724-725-726-728-729-730-702-703-704-705-706-707-708-709-710-711-712-713-714-716-717-718-719-720-721-744-745-746-747-748-749-750-751-752-753-754-755-756-757-762-772-773-774-775-783-784</t>
  </si>
  <si>
    <t>ΚΡΑΜΠΗ</t>
  </si>
  <si>
    <t xml:space="preserve">ΕΥΘΥΜΙΑ </t>
  </si>
  <si>
    <t>ΑΖ722899</t>
  </si>
  <si>
    <t>734-756-764-707-708-711-706-713-714-717-720-721-739-724-725-727-728-733-746-747-750-751-753-757-762-763-773-776-780-703-705-709-710-712-718-719-722-723-726-731-732-737-738-744-745-748-749-752-754-755-760-761-772</t>
  </si>
  <si>
    <t>ΚΑΛΥΒΙΑΡΗ</t>
  </si>
  <si>
    <t>ΑΚ823277</t>
  </si>
  <si>
    <t>718-719-774-772-749-754-745-746-747-753-748-752-744-721-720-713-709-711-712-702-714-717-750-751-755-756-757-773-775-710-716</t>
  </si>
  <si>
    <t>ΛΑΖΑΡΗ</t>
  </si>
  <si>
    <t>ΑΑ320342</t>
  </si>
  <si>
    <t>704-711-713-714-717-720-721-746-747-750-751-753-756-757-773</t>
  </si>
  <si>
    <t>ΔΡΟΣΟΠΟΥΛΟΥ</t>
  </si>
  <si>
    <t>Τ270671</t>
  </si>
  <si>
    <t>844-704-705-711-713-714-717-720-721-746-747-750-751-753-756-757-762-773</t>
  </si>
  <si>
    <t>ΜΑΡΔΑ</t>
  </si>
  <si>
    <t>ΑΖ713812</t>
  </si>
  <si>
    <t>844-705-704-710-755-756-729-762-772-757-746-747-713-702-709-749-754-773-774-711-712-719-714-753-750-744-745-775-720-721-718-716-724-725-748-703-765-768-759-733-734-735-736-737-738-781-786-785-731-732-758-751-752-777-776-782-739-764-769-779-766-707-708-726-727-730-783-787-784-767-780-770-763-740-741-742-743-760-761-778-771-715-723-722-706-728</t>
  </si>
  <si>
    <t>ΓΕΛΙΚΗ</t>
  </si>
  <si>
    <t>ΕΥΔΟΞΙΑ</t>
  </si>
  <si>
    <t>ΑΚ985677</t>
  </si>
  <si>
    <t>776-730-733-734-735-738-737-736-740-785-702-703-844-704-705-706-707-708-709-710-711-712-713-714-715-716-717-718-719-720-721-722-723-724-725-726-727-728-729-731-732-739-741-742-743-744-745-746-747-748-749-750-751-752-753-754-755-756-757-758-759-760-761-762-763-764-765-766-767-768-769-770-771-772-773-774-775-777-778-779-780-781-782-783-784-786-787</t>
  </si>
  <si>
    <t>ΕΛΕΥΘΕΡΙΑΔΟΥ</t>
  </si>
  <si>
    <t>Χ892441</t>
  </si>
  <si>
    <t>760-761-730-740-776-785-768-715-727-728-758-759-729-783-784-781-736-738-737-733-734-735-704-844-705-762-724-725-720-703-706-707-708-764-765-766-777-786-731-732-719-772-774-711-712-713-710-709-702-714-716-717-718-744-745-746-747-748-749-750-751-723-771-778-767-769-779-780-782-787-763-741-742-739-722-743-770</t>
  </si>
  <si>
    <t>ΠΑΠΑΘΩΜΑ</t>
  </si>
  <si>
    <t>ΑΕ324142</t>
  </si>
  <si>
    <t>768-781-785-784-783-760-761-733-734-735-736-737-738-730-727-728-724-725-726-703-718-719-744-745-746-747-748-749-750-751-752-753-754-755-756-757-772-773-774-775-776-709-710-711-712-713-714-715-716-717-702-720-721-706-707-708-740-762-764-765-778-844-704-705</t>
  </si>
  <si>
    <t>Δ (739)</t>
  </si>
  <si>
    <t>ΠΑΣΒΑΝΗ</t>
  </si>
  <si>
    <t>ΑΒ173674</t>
  </si>
  <si>
    <t>739-773-720-721-780-769-763-741-770</t>
  </si>
  <si>
    <t>Κόρρο</t>
  </si>
  <si>
    <t xml:space="preserve">Ματίλντα </t>
  </si>
  <si>
    <t>Μπουγιάρ</t>
  </si>
  <si>
    <t>ΑΜ573827</t>
  </si>
  <si>
    <t>762-705-704-717-757-753-752-751-754-772-774-773-720-721-746-747</t>
  </si>
  <si>
    <t>ΤΣΙΚΗ</t>
  </si>
  <si>
    <t>ΑΝ626169</t>
  </si>
  <si>
    <t>720-719-721-718-757-746-747-748-750-749</t>
  </si>
  <si>
    <t>ΑΝΔΡΟΝΙΚΗ</t>
  </si>
  <si>
    <t>ΑΙ874333</t>
  </si>
  <si>
    <t>753-745-752-744-748-749-754-757-755-756-751-750-747-746-709-710-711-712-713-772-774-773-702-714-716-717-718-719-720-721-724-726-768-775-704-705-738-737-735-734-733-736-730-731-732-762-766-776-777-786</t>
  </si>
  <si>
    <t>Δ (709)</t>
  </si>
  <si>
    <t>ΤΣΑΡΟΥΧΑ</t>
  </si>
  <si>
    <t>Φ441934</t>
  </si>
  <si>
    <t>709-710-712-745-754-748-749-744-752-755-716-772-774-702-775-718-719-714-711-713-746-747-753-751-756-757-717-720-721</t>
  </si>
  <si>
    <t>ΒΟΝΤΙΤΣΑ</t>
  </si>
  <si>
    <t>ΑΖ748942</t>
  </si>
  <si>
    <t>ΚΟΡΤΣΙΝΟΓΛΟΥ</t>
  </si>
  <si>
    <t>ANNA</t>
  </si>
  <si>
    <t>ΑΙ259572</t>
  </si>
  <si>
    <t>738-766-736-731-735-785-737-705-732-786-787-749-768-755-748-740-752-744-754-745-743-723-722-775-774-709-710-715-712-758-761-760-759-777-719-716-729-730-739-756-764-765-772-779-782-702-703-704-706-707-708-711-713-714-717-734-741-742-746-747-750-751-753-757-762-763-767-724-770-771-773-776-780-783-784-844-725-726-727-728-781-778-718-769-720-721</t>
  </si>
  <si>
    <t>ΚΟΥΖΟΥΠΗ</t>
  </si>
  <si>
    <t>ΒΑΣΙΛΙΚΗ ΑΛΚΗΣΤΙΣ</t>
  </si>
  <si>
    <t>ΑΗ553055</t>
  </si>
  <si>
    <t>721-720-717-746-747-773-751-713-714-757</t>
  </si>
  <si>
    <t>ΝΙΚΟΛΑΙΔΗΣ</t>
  </si>
  <si>
    <t>ΑΒΡΑΑΜ</t>
  </si>
  <si>
    <t>ΑΝ354061</t>
  </si>
  <si>
    <t>739-760-761-782-780-781-779-778-783-784-763-758-759-762-785-786-787-770-771-776-772-773-774-775-769-767-766-768-764-765-741-742-740-736-737-738-730-731-732-733-734-735-726-725-729-728-727-724-723-722-720-721-715-714-716-717-718-719-702-703-844-704-705-706-707-708-709-710-711-712-713</t>
  </si>
  <si>
    <t>ΑΝΔΡΟΥΤΣΟΥ</t>
  </si>
  <si>
    <t>ΑΖ985161</t>
  </si>
  <si>
    <t>708-706-707-725-711-713-714-717-746-747-750-751-753-756-757-773-783-784-781-724-776-733-734-771-844-704-727-728-739-741-742-769-763-780-762-770-720-721</t>
  </si>
  <si>
    <t>ΖΕΓΛΗ</t>
  </si>
  <si>
    <t>ΑΑ407562</t>
  </si>
  <si>
    <t>736-737-735-734-733-738-785-776-778-771-760-761-740-730-715-727-728-731-732-766-779-782-777-786-781-787-784-783-768-769-758-726-770-741-759-742-739-729-780-775-774-773-772-767-765-764-763-762-757-756-755-754-753-752-751-750-749-748-747-746-745-744-743-725-724-723-722-721-720-719-718-717-716-714-713-712-711-710-709-708-707-706-705-704-703-702</t>
  </si>
  <si>
    <t>ΔΕΛΛΙΟΥ</t>
  </si>
  <si>
    <t>ΑΗ352508</t>
  </si>
  <si>
    <t>723-731-732-704-705-734-735-733-738-737-736-745-744-746-747-748-749-750-752-754-753-709-755-756-757-751-713-702-710-711-712-714-717-718-719-772-773-774-716-730-740-715-776-778-722-785-703-844-721-706-707-708-724-725-726-727-728-777-768-760-761-762-764-765-729-758-766-767-779-780-781-782-783-784-786-787-769-759-763-739-741-742-743-770</t>
  </si>
  <si>
    <t>ΓΚΙΑΤΑΣ</t>
  </si>
  <si>
    <t>ΑΚ431789</t>
  </si>
  <si>
    <t>768-706-707-708-785-724-725-733-734-773-762-711-714-717-720-721-751-753-756-757-704</t>
  </si>
  <si>
    <t>ΓΟΥΤΑ</t>
  </si>
  <si>
    <t>Σ460088</t>
  </si>
  <si>
    <t>734-733-783-784-781-707-706-708-724-725-728-727-711-713-714-717-720-721-746-747-750-751-753-756-757-762-773-776-739-740-741-742-844-704-770</t>
  </si>
  <si>
    <t>ΓΕΩΡΓΟΥΛΑ</t>
  </si>
  <si>
    <t>ΑΒ192387</t>
  </si>
  <si>
    <t>774-772-775-719-773-721-746-747-748-749-750-745-711-712-713-751-752-757-753-754-755-756-744-709-710-714-717-718-720-702-768-707-708-706-724-725-726-733-734-735-736-737-738-730-783-784-727-728-771-778-785-762-776-740-723-704-705-844-703-715-760-761-764-765-722-781-758-729-759-782-731-732-786-777-779-766-767-769-787-780</t>
  </si>
  <si>
    <t>ΜΠΟΖΑΤΖΙΔΗ</t>
  </si>
  <si>
    <t>ΑΟ785482</t>
  </si>
  <si>
    <t>732-731-766-777-786-702-723-738-737-734-735-733-705-704-726-768-762-740-717-718-716-720-721-751-752-715-711-712-713-749-714-710-709-745-746-747-748-744-750-753-754-757-755-756-703-719-772-774</t>
  </si>
  <si>
    <t>ΟΡΦΑΝΙΔΟΥ</t>
  </si>
  <si>
    <t>ΑΒ231764</t>
  </si>
  <si>
    <t>773-753-720-756-757-746-717-714-750-751-711</t>
  </si>
  <si>
    <t>ΤΡΙΓΚΑ</t>
  </si>
  <si>
    <t>ΕΙΡΗΝΗ - ΒΙΡΓΙΝΙΑ</t>
  </si>
  <si>
    <t>ΑΟ329829</t>
  </si>
  <si>
    <t>734-733-725-707-708-724-762-704-706-717-753-757-751-713-711-750-747-746-773-756-720-721-714-844</t>
  </si>
  <si>
    <t>ΣΓΟΥΡΟΥ</t>
  </si>
  <si>
    <t>ΙΩΑΝΝΑ ΜΠΡΙΓΚΙΤΕ</t>
  </si>
  <si>
    <t>Φ016840</t>
  </si>
  <si>
    <t>717-775-753-713-721-720-751-718-709-716-714-757-755-756-752-719-746-747-745-748-749-750-744-710-711-712-754-772-773-774-732-731-758-702-777</t>
  </si>
  <si>
    <t>ΤΕΤΩΡΟΥ</t>
  </si>
  <si>
    <t>Χ794136</t>
  </si>
  <si>
    <t>762-704-705-744-711-713-714-717-720-721-746-747-750-751-753-756-757-773-733-734-703-764-765-702-709-710-712-716-718-719-748-749-752-754-755-772-774-745-785-786-737-738-735-736-768-777</t>
  </si>
  <si>
    <t>ΚΑΛΑΜΠΑΛΙΚΗ</t>
  </si>
  <si>
    <t>ΑΕ727248</t>
  </si>
  <si>
    <t>704-727-762-720-756-711-713-752-773-751-750-717-746-747</t>
  </si>
  <si>
    <t>ΤΑΣΗ</t>
  </si>
  <si>
    <t>ΑΗ240702</t>
  </si>
  <si>
    <t>750-747-757-711-734-724-762-707-708-721-720-748-749-745-744-746-751-752-753-754-755-756-740-702-710-709-712-713-714-733-735-736-737-738-768-777-786-766-785-774-775-772-716-717-718-725-726-719-704-705-731-732-760-761</t>
  </si>
  <si>
    <t>Χ858309</t>
  </si>
  <si>
    <t>731-732-777-766-786-703-704-705-702-706-708-709-707-710-711-712-713-714-716-717-718-719-720-721-724-725-726-730-733-734-735-736-737-738-740-760-761-762-764-765-768-772-773-774-775-785-744-745-746-747-748-749-750-751-752-753-754-755-757-756</t>
  </si>
  <si>
    <t>ΜΑΣΤΡΟΓΙΑΝΝΗ</t>
  </si>
  <si>
    <t>ΕΛΙΣΣΑΒΕΤ</t>
  </si>
  <si>
    <t>ΑΜ298608</t>
  </si>
  <si>
    <t>738-736-737-735-731-785-732-749-766-755-752-744-748-745-754-705-718-719-709-786-768-761-772-777-733-730-740-760-716-710-712-702-703-753-756-726-764-765-734-747-750-762-720-721-724-708-711-713-707-757-746-714-717-844-704-751-725-773</t>
  </si>
  <si>
    <t>ΑΝΑΣΤΑΣΟΠΟΥΛΟΥ</t>
  </si>
  <si>
    <t>ΝΙΚΟΛΙΤΣΑ</t>
  </si>
  <si>
    <t>Χ298684</t>
  </si>
  <si>
    <t>704-844-746-747-750-753-756-757-733-734-717-714-706-707-708-725-728-727-739-741-742-751-762-763-769-773-771-770-776-780-781-783-784-724-721-720</t>
  </si>
  <si>
    <t>ΠΛΙΩΤΑ</t>
  </si>
  <si>
    <t>ΑΝΤΙΓΟΝΗ</t>
  </si>
  <si>
    <t>ΑΜ082197</t>
  </si>
  <si>
    <t>713-751-773-757-720-714-756-746-747-750-711-753</t>
  </si>
  <si>
    <t>ΓΙΩΤΑ</t>
  </si>
  <si>
    <t>ΜΑΡΚΕΛΛΑ</t>
  </si>
  <si>
    <t>ΑΟ028214</t>
  </si>
  <si>
    <t>702-709-710-711-712-713-714-717-718-720-721-746-747-750-751-753-756-757</t>
  </si>
  <si>
    <t>Δ (778)</t>
  </si>
  <si>
    <t>ΒΕΝΕΚΑ</t>
  </si>
  <si>
    <t>ΑΜ922732</t>
  </si>
  <si>
    <t>778-723-771-740-715-737-738-733-722-734-735-736-730-785-768-776-760-761-703-844-704-705-706-707-708-724-725-726-727-728-762-764-765-783-784-702-709-710-711-712-713-714-716-717-718-719-720-721-744-745-746-747-748-749-750-751-752-753-754-755-756-757-772-773-774-775-731-732-766-777-786-729-758-759-769-779-782-787-739-741-742-743-763-767-770-780-781</t>
  </si>
  <si>
    <t>Μαμμας</t>
  </si>
  <si>
    <t>Θεοδωρος</t>
  </si>
  <si>
    <t>Αποστολος</t>
  </si>
  <si>
    <t>Χ586216</t>
  </si>
  <si>
    <t>764-714-756-775-773-757-772-774-717-718-719-721-746-747-745-750-752-755-720-710-713-748-749-744-712-711-751-754-753-702-709-765</t>
  </si>
  <si>
    <t>ΠΑΠΑΙΩΑΝΝΟΥ</t>
  </si>
  <si>
    <t>ΟΡΕΣΤΗΣ</t>
  </si>
  <si>
    <t>ΑΜ783608</t>
  </si>
  <si>
    <t>770-741-739-781-769-763-780-727-784-733-734-844-704-706-707-708-711-713-714-717-720-721-724-725-728-742-746-747-750-756-757-762-777-773-776-783</t>
  </si>
  <si>
    <t>ΚΑΛΤΣΑ</t>
  </si>
  <si>
    <t>ΣΤΑΜΑΤΙΑ</t>
  </si>
  <si>
    <t>Χ374230</t>
  </si>
  <si>
    <t>768-733-734-735-736-737-738-740-772-773-774-775-776-744-745-746-747-748-749-750-751-752-753-754-755-756-757-758-760-761-777-778-781-779-782-780-783-784-785-786-787-770-771-764-765-766-767-769-762-763-743-739-741-742-730-731-732-725-726-727-728-729-720-721-724-722-723-714-715-716-717-719-708-709-710-711-712-713-844-704-705-706-707-702-703</t>
  </si>
  <si>
    <t>ΚΩΣΤΗΣ</t>
  </si>
  <si>
    <t>ΑΟ168948</t>
  </si>
  <si>
    <t>721-720-702-775-749-754-752-756-757-750-755-744-745-718-719-748-774-772-747-713-714-751-753-773-746-711-712-709-716-717-710</t>
  </si>
  <si>
    <t>ΓΡΑΜΜΑΤΙΚΟΠΟΥΛΟΥ</t>
  </si>
  <si>
    <t>ΑΘΗΝΑ</t>
  </si>
  <si>
    <t>ΑΕ611989</t>
  </si>
  <si>
    <t>751-714-713-716-717-709-744-746-745-747-752-718-748-749-750-754-753-755-756-757-712-711-710-719-720-721-772-773-774-775</t>
  </si>
  <si>
    <t>ΠΕΓΛΙΔΗ</t>
  </si>
  <si>
    <t>ΜΑΚΡΙΝΑ - ΧΡΙΣΤΙΝΑ</t>
  </si>
  <si>
    <t>ΠΑΝΤΕΛΕΗΜΩΝ</t>
  </si>
  <si>
    <t>ΑΙ316715</t>
  </si>
  <si>
    <t>781-784-734-733-771-776-753-756-757-713-714-717-711-746-747-750-751-773-724-725-783-720-721-707-706-844-704-739-741-742-762-769-770-780-727</t>
  </si>
  <si>
    <t>ΜΑΓΓΑΝΑ</t>
  </si>
  <si>
    <t>ΑΗ021020</t>
  </si>
  <si>
    <t>702-709-710-711-712-713-714-716-717-718-820-721-773-774-744-745-746-747-748-749-750-751-752-753-754-755-756-757-719-775-844-704-768-724-725-726-703-706-707-708-730-760-761-762-785-733-734-735-736-737-738-731-732-766-777-786</t>
  </si>
  <si>
    <t>ΙΩΑΝΝΟΥ</t>
  </si>
  <si>
    <t>ΑΗ191253</t>
  </si>
  <si>
    <t>733-734-735-736-737-738-715-740-702-709-710-711-712-713-714-716-717-718-719-720-721-744-745-746-747-748-749-750-751-752-753-754-755-756-757-758-759-760-762-763-766-767-768-769-770-771-772-773-774-775-776-777-779-780-781-729-731-732-739-741-742-743-722-723-724-726-764-786-844-704-706-705</t>
  </si>
  <si>
    <t>Δ (752)</t>
  </si>
  <si>
    <t>ΜΗΤΚΑΣ</t>
  </si>
  <si>
    <t>ΑΖ192437</t>
  </si>
  <si>
    <t>752-748-749-745-744-753-754-755-772-709-774-775-785-702-720-721</t>
  </si>
  <si>
    <t>ΛΑΓΟΠΟΔΗ</t>
  </si>
  <si>
    <t>ΑΑ356915</t>
  </si>
  <si>
    <t>844-704-706-707-708-711-713-714-717-720-721-724-725-727-733-734-739-741-746-747-750-751-753-756-757-762-763-769-770-771-773-776-780-781-783-784</t>
  </si>
  <si>
    <t>ΝΤΡΙΖΑΙ</t>
  </si>
  <si>
    <t>ΑΜ841786</t>
  </si>
  <si>
    <t>738-736-737-735-749-718-755-748-752-744-745-766-705-709-710-711-712-713-715-716-719-720-723-754-756-761-768-774-775-778-777-785</t>
  </si>
  <si>
    <t>ΜΠΟΥΓΙΟΥΡΗ</t>
  </si>
  <si>
    <t>ΑΑ076866</t>
  </si>
  <si>
    <t>720-721-773-757-753-750-756-751-747-717-713-711-714-740</t>
  </si>
  <si>
    <t>ΛΟΥΚΟΥ</t>
  </si>
  <si>
    <t>Χ395326</t>
  </si>
  <si>
    <t>762-704-844-711-713-714-717-720-721-746-747-750-751-753-757-773-756-707-706-708-724-725-727-728-733-734-739-741-742-763-769-770-771-783-784-776-780-781</t>
  </si>
  <si>
    <t>ΛΕΝΟΥ</t>
  </si>
  <si>
    <t>ΜΑΡΙΑ ΑΝΑΣΤΑΣΙΑ</t>
  </si>
  <si>
    <t>ΑΚ 436850</t>
  </si>
  <si>
    <t>776-730-733-734-735-736-737-768-760-761-740-785-706-707-708-702-710-714-711-712-713-703-844-704-705-716-717-718-719-720-721-724-725-726-731-732-744-745-746-747-748-749-750-751-752-753-754-755-756-757-762-765-777-782-784-786</t>
  </si>
  <si>
    <t>ΛΕΡΟΥ</t>
  </si>
  <si>
    <t>ΑΑ018361</t>
  </si>
  <si>
    <t>756-750-757-747-746-753-751-711-713-714-717-773-721-720-702-744-745-748-749-754-752-709-710-712-718-716-719-772-774-775</t>
  </si>
  <si>
    <t>ΜΠΑΡΜΠΑΚΗ</t>
  </si>
  <si>
    <t>ΑΕ729118</t>
  </si>
  <si>
    <t>746-747-757-756-714-713-711-750-720-721</t>
  </si>
  <si>
    <t>ΜΑΣΤΟΡΑΚΟΥ</t>
  </si>
  <si>
    <t>ΑΕ076774</t>
  </si>
  <si>
    <t>753-773-720-746-747-711-713-714-717-721-750-751-756-757</t>
  </si>
  <si>
    <t>ΑΜΠΕΛΙΩΤΗ</t>
  </si>
  <si>
    <t>ΑΙ1982891</t>
  </si>
  <si>
    <t>713-724-725-726-755-756-751-757-749-714-721</t>
  </si>
  <si>
    <t>ΤΣΕΛΙΟΥ</t>
  </si>
  <si>
    <t>Τ237844</t>
  </si>
  <si>
    <t>705-704-844-709-712-716-718-719-720-721-744-745-746-747-748-749-752-754-755-753-750-774-775-756-783-784-772-702-717-773-737-738-736-735-734-757-762-703-765-768-740-780-739-763-758-760-785-782-779-741-742-743-726-725-724-787-764-730-729-781-706-707-708-715-778-723-722-727-770-767-731-732-771-766</t>
  </si>
  <si>
    <t>ΑΣΑΡΙΔΗ</t>
  </si>
  <si>
    <t>ΙΟΡΔΑΝΗΣ</t>
  </si>
  <si>
    <t>ΑΜ228817</t>
  </si>
  <si>
    <t>773-757-746-775-720-710</t>
  </si>
  <si>
    <t>ΤΡΙΑΝΤΑΦΥΛΛΙΔΟΥ</t>
  </si>
  <si>
    <t>ΑΟ141567</t>
  </si>
  <si>
    <t>774-772-719-702-718-755-756-753-757-752-717-710-751-754-709-714-711-712-713-773-746-747-748-749-750-745-716-775-720-721-725-726-727-728-733-734-735-738-736-737-785-703-704-705-844-724-768-764-765-762-760-761-776-769-770-758-759-763-706-707-708-731-732-730-729-739-741-742-743-740-766-767-771-715-786-787-777-783-784-778-779-780-781-782-722-723</t>
  </si>
  <si>
    <t>ΣΤΕΡΓΙΟΠΟΥΛΟΥ</t>
  </si>
  <si>
    <t>ΣΤΕΡΓΙΟΣ</t>
  </si>
  <si>
    <t>Χ932794</t>
  </si>
  <si>
    <t>717-713-714-773-751-711-750-747-746-757-753-756-720-721-762-707-706-708-725-724-704-844-734-733</t>
  </si>
  <si>
    <t>ΑΛΤΗ</t>
  </si>
  <si>
    <t>ΑΙ185620</t>
  </si>
  <si>
    <t>738-737-733-736-735-734-785-730-768-740-776-760-761-732-731-786-766-777-749-755-748-744-752-745-754-756-753-757-747-750-751-746-718-719-717-716-720-721-775-774-772-773-709-710-712-711-713-714-702-705-704-758-729-759-726-724-725-762-781-769-779-767-787-782-780-715-771-778-723-722-784-783-708-707-706-844-739-763-765-764-703-728-727-770-741-742-743</t>
  </si>
  <si>
    <t>ΒΑΛΑΡΗ</t>
  </si>
  <si>
    <t>ΑΕ235767</t>
  </si>
  <si>
    <t>705-704-844-703-729-759-762-702-706-707-708-709-710-711-712-713-714-715-716-717-718-719-720-721-722-723-724-725-726-727-728-730-731-732-733-734-735-736-737-738-739-740-741-742-743-744-745-746-747-748-749-750-751-752-753-754-755-756-757-758-760-761-763-764-765-766-767-768-769-770-771-772-773-774-775-776-777-778-779-780-781-782-783-784-785-786-787</t>
  </si>
  <si>
    <t>ΚΑΖΑΛΤΖΗ</t>
  </si>
  <si>
    <t>ΧΡΥΣΗ</t>
  </si>
  <si>
    <t>ΑΒ930525</t>
  </si>
  <si>
    <t>722-723-778-771-715-740-738-736-735-737-733-734-785-761-760-768-776-730-707-708-706-728-727-783-784-702-709-710-711-712-713-714-716-717-718-719-720-721-744-745-746-747-748-749-750-751-752-753-754-755-756-757-772-773-774-775-724-726-725-731-732-766-786-777-758-759-729-779-781-782-767-739-780-787-769-763-743-741-742-770</t>
  </si>
  <si>
    <t>ΜΠΑΛΛΑ</t>
  </si>
  <si>
    <t>ΑΝΔΡΕΑΝΑ</t>
  </si>
  <si>
    <t>ΑΒ317079</t>
  </si>
  <si>
    <t>706-708-711-715-724-844-704-707-713-717-714-720-721-725-733-734-746-747-750-753-751-756-757-762-786-777-764-768-766-761-760-702-703-718-719-709-710-726-736-738-774-775-772-712-754-748-749-773-716-727-728-729-723-755-763-785-787-778-722-758-779-741-780-782-781-783-784-769-739-742</t>
  </si>
  <si>
    <t>ΤΡΥΠΑΡΟΛΗ</t>
  </si>
  <si>
    <t>Φ017929</t>
  </si>
  <si>
    <t>721-720-719-718-709-702-749-773</t>
  </si>
  <si>
    <t>ΠΑΡΜΑΚΗ</t>
  </si>
  <si>
    <t>ΘΕΟΔΟΣΙΑ</t>
  </si>
  <si>
    <t>ΑΕ399799</t>
  </si>
  <si>
    <t>768-733-734-735-736-737-738-740-760-761-715-771-706-707-708-724-725-726-727-728-729-730-731-732-739-741-742-743-844-709-710-711-712-713-714-716-717-718-719-720-721-744-745-746-747-748-749-750-751-752-753-754-755-756-757-758-759-762-763-764-765-766-767-769-770-772-773-774-775-776-777-778-779-780-781-782-783-784-785-786-722-723-702-703-704-705</t>
  </si>
  <si>
    <t>ΜΠΕΣΙΝΗ</t>
  </si>
  <si>
    <t>ΑΕ242169</t>
  </si>
  <si>
    <t>718-754-712-774-772-775-755-756-752-749-719-745-744-748-710-702-709-753-716-720-751-757-773-746-747-750-711-713-714-721</t>
  </si>
  <si>
    <t>ΝΙΚΟΛΑΟΥ</t>
  </si>
  <si>
    <t>Χ488796</t>
  </si>
  <si>
    <t>733-738-737-735-734-736-786-731-732-777-766-729-758-769-782-780-779-781-787-785-739-740-759-768-715-741-742-762-771-705-704-844-726-724-725-743-770-707-730-761-760-775-774-772-776-778-703-706-708-719-723-722-728-727-764-763-783-784-718-749-744-748-745-755-752-754-753-756-702-709-710-712-716-711-713-721-720-747-750-714-746-751-757-773-717</t>
  </si>
  <si>
    <t>ΤΣΙΑΝΗ</t>
  </si>
  <si>
    <t>ΑΙ291429</t>
  </si>
  <si>
    <t>742-741-739-763-769-780-781-711-713-714-717-733-734-746-747-750-720-751-756-757-762-770-771-776-783-784</t>
  </si>
  <si>
    <t>ΛΑΓΙΩΤΗ</t>
  </si>
  <si>
    <t>Χ889755</t>
  </si>
  <si>
    <t>706-707-708-724-725-762-844-784-704-717-720-721-751-757-713-746-750-756-714-773-753-711-733-734-741-742-770-769-783-781-771-776-763-780-760-761-730-731-732-786-777-740-703-705-726-719-716-744-752-755-709-710-702-712-718-745-748-749-754-768-766-765-764-736-735-737-738-785-772-774-775-723-722-729-758-759-767-778-779-782-787</t>
  </si>
  <si>
    <t>ΜΑΝΗΣ</t>
  </si>
  <si>
    <t>ΑΚ404723</t>
  </si>
  <si>
    <t>702-703-704-705-706-707-708-709-710-711-712-713-714-715-716-717-718-719-720-721-722-723-724-725-726-727-728-729-730-732-733-734-735-736-737-738-739-740-741-742-743-744-745-746-747-748-749-750-751-752-753-754-755-756-757-758-759-760-761-762-763-764-765-766-767-768-769-770-771-772-773-774-777-778-779-780-781-782-783-784</t>
  </si>
  <si>
    <t>ΛΥΤΡΙΒΗ</t>
  </si>
  <si>
    <t>Τ257954</t>
  </si>
  <si>
    <t>703-720-721</t>
  </si>
  <si>
    <t>ΘΕΟΔΩΡΟΠΟΥΛΟΥ</t>
  </si>
  <si>
    <t>ΑΗ714347</t>
  </si>
  <si>
    <t>705-704-844-762-702-709-710-711-712-713-714-716-717-718-719-720-721-744-745-746-747-748-749-750-751-752-753-754-755-756-757-772-773-774-775-703-706-707-708-715-722-723-724-725-726-727-728-729-730-731-732-733-734-735-736-737-738-739-740-741-742-743-758-759-760-761-763-764-765-766-767-768-769-770-771-776-777-778-779-780-781-782-783-784-785-786-787</t>
  </si>
  <si>
    <t>ΚΟΛΟΡΙΖΟΣ</t>
  </si>
  <si>
    <t>ΑΒ012483</t>
  </si>
  <si>
    <t>772-774-719-716-718-773-775-702-753-744-745-746-747-748-749-750-751-752-754-757-711-712-713-717-755-756-714-709-710-720-721</t>
  </si>
  <si>
    <t>Δ (740)</t>
  </si>
  <si>
    <t>ΜΟΣΧΟΥ</t>
  </si>
  <si>
    <t>ΑΝ912849</t>
  </si>
  <si>
    <t>733-734-735-736-737-738-740-715-785-730-768-771-723-722-776-724-725-726-760-761-778-703-844-704-705-706-707-783-784-708-727-728-762-764-765-781-780-779-777-770-769-729-731-732-739-741-742-743-758-759-763-766-767-702-709-710-711-712-713-714-716-717-718-719-720-721-744-745-746-747-748-749-750-751-752-753-754-755-756-757-772-773-774-775</t>
  </si>
  <si>
    <t>ΠΕΡΙΣΤΕΡΗ</t>
  </si>
  <si>
    <t>ΑΒ295917</t>
  </si>
  <si>
    <t>713-711-757-750-747-720-721-714-717-746-751-753-756-773-786-706-707-708-724-725-844-704-727-728-733-734-739-741-742-763-769-776-770-771-783-784-781-780</t>
  </si>
  <si>
    <t>ΑΒ855544</t>
  </si>
  <si>
    <t>753-747-746-757-750-733-734-751-714-711-713-773-756-717-737-738-735-736-761-760-748-745-744-754-749-740-718-712-709-702-730-768-762-752-774-719-704-772-705-765-755-710-721-720-707-708-706-703-726-775-844-716-786-785-731-732-777-766-764-724-725</t>
  </si>
  <si>
    <t>ΜΑΥΡΟΜΜΑΤΗ</t>
  </si>
  <si>
    <t>ΑΝ752808</t>
  </si>
  <si>
    <t>733-734-735-736-737-738-785-776-730-768-740-715-771-727-708-707-706-704-844-732-711-713-714-717-720-721-746-747-750-751-753-757-762-773-781-780-770-769-741-742-739-763</t>
  </si>
  <si>
    <t>ΑΜ322599</t>
  </si>
  <si>
    <t>705-704-844-745-749-748-744-747-750-755-752-754-753-756-757-751-746-762-774-775-772-773-702-718-719-716-714-717-710-711-712-713-709-721-720-735-738-737-736-733-734-703-708-765-764-768-726-725-724-785-707-706-740-731-730-732-771-770-776-777-766-782-784-783-786-742-741-787-761-760-729-778-779-780-781-715-767-769-728-758-759-763-723-722-743-739</t>
  </si>
  <si>
    <t>ΤΣΙΤΝΟΓΛΟΥ</t>
  </si>
  <si>
    <t>Χ533603</t>
  </si>
  <si>
    <t>753-746-747-757-711-750-713-773-714-751-720-721-756-717</t>
  </si>
  <si>
    <t>ΧΡΙΣΤΟΔΟΥΛΟΥ</t>
  </si>
  <si>
    <t>ΑΝ559494</t>
  </si>
  <si>
    <t>711-712-718-745-746-747-748-749-750-753-754-755-756-774-709-751-752-710-702-713-717-744-719-757-772-773-775-720-721</t>
  </si>
  <si>
    <t>ΑΘΑΝΑΣΙΑ</t>
  </si>
  <si>
    <t>ΔΑΜΙΑΝΟΣ</t>
  </si>
  <si>
    <t>ΑΙ336051</t>
  </si>
  <si>
    <t>725-724-733-734-756-713-753-773-714-711-751-750-746-717-720-721-757-844-704-706-739-769-763-741-780-776-781-771-742-784-783-731-732-760-761-766-777-786-785-774-772-768-765-764-758</t>
  </si>
  <si>
    <t>ΚΟΛΙΟΥ</t>
  </si>
  <si>
    <t>ΑΚ565935</t>
  </si>
  <si>
    <t>709-710-717-711-712-713-714-716-719-720-721-744-745-746-747-748-749-750-751-752-753-754-755-756-757-772-773-774-775-702</t>
  </si>
  <si>
    <t>ΤΣΕΚΕΡΙΔΟΥ</t>
  </si>
  <si>
    <t>ΕΛΠΙΔΑ ΧΡΙΣΤΙΝΑ</t>
  </si>
  <si>
    <t>ΑΖ374777</t>
  </si>
  <si>
    <t>778-734-733-707-708-706-753-756-711-746-747-750-713-751-757-773-714-717-725-724-762-704-844-721-720-776-783-784-781-739-727-728-741-769-763-770-742-723-735-737-738-736-740-760-761-768-785-726-730</t>
  </si>
  <si>
    <t>ΠΕΤΡΑΚΗ</t>
  </si>
  <si>
    <t>ΑΝ173465</t>
  </si>
  <si>
    <t>716-718-717-719-709-710-711-712-713-714-744-745-746-747-748-749-750-751-752-753-754-755-756-757-773-772-774-775-702-720-721-762</t>
  </si>
  <si>
    <t>ΓΕΩΡΓΟΠΟΥΛΟΥ</t>
  </si>
  <si>
    <t>ΖΑΦΕΙΡΟΥΛΑ</t>
  </si>
  <si>
    <t>ΑΝ255457</t>
  </si>
  <si>
    <t>704-844-773-711-713-714-717-746-747-750-751-753-756-757-733-734-762-706-707-708-724-725-727-728-738-771-776-783-784-785-702-703-705-709-710-712-715-716-718-719-726-730-735-736-737-744-745-748-749-752-754-755-760-761-764-765-768-772-774-775-778-722-723-720-721</t>
  </si>
  <si>
    <t>ΓΙΟΛΔΑΣΗ</t>
  </si>
  <si>
    <t>ΑΖ746114</t>
  </si>
  <si>
    <t>758-760-761-733-734-735-736-737-738-740-730-785-715-768-703-776-844-704-705-772-773-774-775-744-745-746-747-748-749-750-751-752-753-754-755-756-757-702-709-710-711-712-713-714-716-717-718-719-720-721-706-707-708-724-725-726-722-723-727-728-762-764-765-783-784-771-778-729-731-732-786-777-766-779-759-781-782-770-741-742-743-763-767-769-739-780-787</t>
  </si>
  <si>
    <t>ΠΑΤΣΙΑΛΑ</t>
  </si>
  <si>
    <t>ΑΕ664448</t>
  </si>
  <si>
    <t>734-735-736-737-738-733-740-778-730-761-768-771-776-722-715-767-769-763-781-782-787-786-780-779-777-770-760-731-732-775-785-739-741-742-743-758-759-704-705-706-723-724-725-726-727-728-729-762-764-765-774-773-772-744-745-746-747-748-749-750-751-752-753-754-755-756-757-709-710-711-712-713-714-716-717-718-719-720-721-844-703-702-708-707-783-784</t>
  </si>
  <si>
    <t>ΠΑΠΑΘΑΝΑΣΟΠΟΥΛΟΥ</t>
  </si>
  <si>
    <t>ΑΝ263346</t>
  </si>
  <si>
    <t>705-704-762-784-783-772-773-774-775-719-714-716-717-718-744-745-746-747-748-749-750-751-752-753-754-755-756-757-702-709-710-711-712-713-720-721-727-728-844-703-768-706-707-764-765-760-761-730-733-734-785-735-736-737-738-759-758-708-725-726-729-724-740-715-776-731-732-777-778-771-786-766-722-723-779-780-770-782-787-781-739-741-742-743-767-769</t>
  </si>
  <si>
    <t>ΚΑΓΚΑΡΑΚΗ</t>
  </si>
  <si>
    <t>ΝΑΤΑΛΙΑ</t>
  </si>
  <si>
    <t>ΑΟ134858</t>
  </si>
  <si>
    <t>756-753-752-751-750-747-757-746-714-717-720-721-713-702-773</t>
  </si>
  <si>
    <t>ΣΠΥΡΟΠΟΥΛΟΥ</t>
  </si>
  <si>
    <t>ΑΖ206099</t>
  </si>
  <si>
    <t>705-704-759-762-703-764-765-729-758-702-709-710-711-712-713-714-716-717-718-719-720-721-744-745-746-747-748-749-750-751-752-753-754-755-756-757-772-773-774-775</t>
  </si>
  <si>
    <t>ΚΕΡΗ</t>
  </si>
  <si>
    <t>ΕΛΕΝΗ ΣΩΤΗΡΙΑ</t>
  </si>
  <si>
    <t>ΑΗ594816</t>
  </si>
  <si>
    <t>762-773-719-775-720-721-717-714-702-751-713-750-774-746-747-757-711-756-710-745-716-718-754-752-782-726-724-708-707-738-704-705-731-766-786-777</t>
  </si>
  <si>
    <t>ΖΩΓΡΑΦΟΥ</t>
  </si>
  <si>
    <t>Χ145328</t>
  </si>
  <si>
    <t>746-747-750-751-753-756-757-713-711-714-717-773-720-721</t>
  </si>
  <si>
    <t>ΣΚΑΜΠΑΡΔΩΝΗΣ</t>
  </si>
  <si>
    <t>ΑΗ813816</t>
  </si>
  <si>
    <t>768-735-737-733-738-744-749-748-745-755-754-752-753-756-718-719-772-709-705-736-734-707-708-724-725-726-727-728-761-781-783-784-785-702-706-711-712-710-714-716-717-720-721-730-746-747-750-757-751-760-775-774-773</t>
  </si>
  <si>
    <t>ΖΙΑΜΠΑ</t>
  </si>
  <si>
    <t>ΑΜ854281</t>
  </si>
  <si>
    <t>733-734-776-724-725-704-844-762-781-756-757-751-746-747-750-711-713-714-717-773-720-721-753-707-708-771-783-784-769-763-741-742-770</t>
  </si>
  <si>
    <t>ΑΒ888663</t>
  </si>
  <si>
    <t>730-760-761-776-733-734-735-736-737-738-740-771-785-715-731-732-786-766-769-777-780-782-739-758-759-763-767-770-779-702-709-714-716-717-718-720-721-744-745-746-747-748-749-750-751-752-753-754-755-756-757-773-772-719-774-775-783-784-724-725-726-729-741-742-743-787-703-704-705-844-764-765-706-707-708-727-728-762-722-723-778</t>
  </si>
  <si>
    <t>ΜΩΥΣΙΑΔΟΥ</t>
  </si>
  <si>
    <t>ΓΕΩΡΓΙΑ ΕΙΡΗΝΗ</t>
  </si>
  <si>
    <t>ΑΝ611712</t>
  </si>
  <si>
    <t>713-714-711-750-746-756-751-753-747-720-757-773-721-717-725-762-780-776-769-733-734-763-724-727-728-783-784-844-706-707-708-704-771-739-741-770-781-742</t>
  </si>
  <si>
    <t>ΛΑΖΑΡΑΚΟΥ</t>
  </si>
  <si>
    <t>ΑΚ085535</t>
  </si>
  <si>
    <t>772-774-773-719-775-718-720-721-702-747-746-748-749-750-753-757-744-745-755-756-711-712-754-716-713-709-710-714-717-752-751</t>
  </si>
  <si>
    <t>ΤΖΟΜΠΑΝΑΚΗ</t>
  </si>
  <si>
    <t>ΑΗ190821</t>
  </si>
  <si>
    <t>733-734-735-736-737-738-730-740-731-732-785-715-771-753-775-760-761-786-766-768-777-706-707-708-702-703-704-705-720-709-710-711-712-713-714-716-717-718-719-721-724-725-726-744-745-746-747-748-749-750-751-752-754-755-756-757-762-764-765-844</t>
  </si>
  <si>
    <t>ΣΤΕΦΑΝΟΠΟΥΛΟΣ</t>
  </si>
  <si>
    <t>ΑΚ536583</t>
  </si>
  <si>
    <t>717-706-714-702-718-773-719-750-754-745-724-725-726-707-708-720-721-746-747-748-749-751-752-753-755-757-709-744-713-712-716-710-711-772-774</t>
  </si>
  <si>
    <t>ΧΡΙΣΤΙΑΝΑ</t>
  </si>
  <si>
    <t>ΦΙΛΙΠΠΟΣ</t>
  </si>
  <si>
    <t>ΑΟ080737</t>
  </si>
  <si>
    <t>716-718-773-774-775-753-719-756-755-748-746-747-717-744-735-709-720-721-745</t>
  </si>
  <si>
    <t>ΜΑΙΜΑΡΗ</t>
  </si>
  <si>
    <t>ΑΖ814293</t>
  </si>
  <si>
    <t>733-734-735-736-737-738-746-747-750-720-721-724-725-711-713-714-717-706-707-708-704-844-751-753-756-757-762-773-710-705-730-731-732-726-719-718-716-712-709</t>
  </si>
  <si>
    <t>ΠΕΛΕΚΑ</t>
  </si>
  <si>
    <t>Χ392619</t>
  </si>
  <si>
    <t>702-787-775-785-786-764-784-783-782-781-780-770-771-772-773-774-776-777-778-779-769-768-767-766-765-763-762-761-760-759-750-751-752-753-754-755-756-757-758-749-748-747-746-745-744-743-742-741-740-730-731-732-733-734-735-736-737-738-739-729-728-727-726-725-724-723-722-721-720-719-718-717-716-715-714-713-711-712-710-703-704-705-706-707-708-709</t>
  </si>
  <si>
    <t>ΤΑΡΑΤΣΑ</t>
  </si>
  <si>
    <t>ΑΙ227438</t>
  </si>
  <si>
    <t>749-755-748-745-746-747-710-718-709-713-751-753-754-744-714-711-717-752-702-712-720</t>
  </si>
  <si>
    <t>ΡΑΚΚΑ</t>
  </si>
  <si>
    <t>ΑΓΑΘΗ</t>
  </si>
  <si>
    <t>ΑΖ721232</t>
  </si>
  <si>
    <t>779-780-782-787-769-763-741-742-758-759-729-739-743-770-786-777-731-732-767-766-725-726-724-844-704-705-762-783-784-778-771-768-764-765-703-706-707-708-727-728-730-740-760-761-776-785-722-723-715-702-709-710-711-712-713-714-717-718-720-721-733-734-735-736-737-738-719-744-745-746-747-748-749-750-751-752-753-754-755-756-757-773-774-775</t>
  </si>
  <si>
    <t>ΤΣΙΟΤΣΙΟΥ</t>
  </si>
  <si>
    <t>ΑΙ352500</t>
  </si>
  <si>
    <t>760-761-776-730-738-734-735-733-737-736-785-740-715-768-727-728-783-784-706-707-708-704-705-844-758-762-787-771-778-723-722-724-725-726-729-775-772-774-773-719-718-717-746-747-757-753-752-748-749-750-754-756-755-751-745-744-711-712-709-720-721-714-713-731-732-777-703-710-716-702-786-766-765-764-782-781-759-767-779-780</t>
  </si>
  <si>
    <t>ΜΑΥΡΟΜΑΤΗ</t>
  </si>
  <si>
    <t>ΑΟ221317</t>
  </si>
  <si>
    <t>735-734-738-736-737-733-785-740-760-761-730-777-731-732-766-704-705-724-725-726-844-707-706-708-703-762-764-765-768-702-709-710-711-712-713-714-716-717-718-719-720-721-744-745-746-747-748-749-750-751-752-753-754-755-756-757-772-773-774-775-771-776-784-783-778-727-728-722-723-781-739-729-741-742-743-758-759-769-770-782-715-779-780-787-763-767</t>
  </si>
  <si>
    <t>ΤΣΙΤΣΙΜΠΙΚΟΥ</t>
  </si>
  <si>
    <t>ΠΑΝΑΓΙΩΤΑ-ΕΛΕΥΘΕΡΙΑ</t>
  </si>
  <si>
    <t>ΑΒ432628</t>
  </si>
  <si>
    <t>768-734-733-738-736-735-737-774-719-772-775-747-750-751-756-757-744-745-746-748-749-753-754-755-702-717-720-721-773-718-711-713-714-709-710-712-716</t>
  </si>
  <si>
    <t>ΠΑΤΣΑΤΖΗ</t>
  </si>
  <si>
    <t>ΑΙ650750</t>
  </si>
  <si>
    <t>718-719-716-717-720-721-746-747-773-774-775-753-744-745-748-749-750-751-752-772-754-755-756-757</t>
  </si>
  <si>
    <t>Χρυσουλη</t>
  </si>
  <si>
    <t>Χριστινα</t>
  </si>
  <si>
    <t>Γεωργιος</t>
  </si>
  <si>
    <t>ΑΖ609159</t>
  </si>
  <si>
    <t>746-747-756-757-753-711-751-717-714-750-720-721</t>
  </si>
  <si>
    <t>ΜΕΓΑΡΧΙΩΤΗΣ</t>
  </si>
  <si>
    <t>ΑΝ669412</t>
  </si>
  <si>
    <t>720-721-734-773-717</t>
  </si>
  <si>
    <t>ΜΩΡΑΙΤΗ</t>
  </si>
  <si>
    <t>ΑΒ655868</t>
  </si>
  <si>
    <t>773-747-750-753-757-756-746-772-774-718-719-720-721-744-754-748-749-745-755-702-709-716</t>
  </si>
  <si>
    <t>ΣΑΚΕΛΛΑΡΟΠΟΥΛΟΥ</t>
  </si>
  <si>
    <t>ΑΟ060062</t>
  </si>
  <si>
    <t>757-713-714-756-716-746-747-717-750-762-769-770-751-711-753-718-719-720-721</t>
  </si>
  <si>
    <t>ΚΟΥΡΤΙΔΗ</t>
  </si>
  <si>
    <t>ΔΗΜΗΤΡΑ ΔΑΝΑΗ</t>
  </si>
  <si>
    <t>ΑΕ502426</t>
  </si>
  <si>
    <t>718-717-720-721-719-773-775-772-774-713-753-757-746-747-751-754-755-756-709-714-744-745-748-749-750-710-711-712-716-752-702-706-707-708-724-725-726-733-734-735-736-737-738</t>
  </si>
  <si>
    <t>ΜΠΕΡΔΕΚΛΗ</t>
  </si>
  <si>
    <t>Χ437657</t>
  </si>
  <si>
    <t>753-756-750-747-746-757-751-717-714-713-711-720-721-773</t>
  </si>
  <si>
    <t>ΓΙΑΒΡΟΥΤΑ</t>
  </si>
  <si>
    <t>ΑΙ225523</t>
  </si>
  <si>
    <t>704-756-753-763-757-711-713-717-721-747-750-720-714-724-707-708-844-783-784</t>
  </si>
  <si>
    <t>ΜΠΕΡΤΣΟΥ</t>
  </si>
  <si>
    <t>ΕΛΕΥΘΕΡΙΟΣ</t>
  </si>
  <si>
    <t>ΑΖ700524</t>
  </si>
  <si>
    <t>704-705-844-762-702-709-710-711-712-713-714-716-717-718-719-720-721-744-745-746-747-748-749-750-751-752-753-754-755-756-757-772-773-774-775-729-703-759-733-734-735-736-737-738-785-731-732-777-786-779-782-769</t>
  </si>
  <si>
    <t>ΑΟ708427</t>
  </si>
  <si>
    <t>717-720-721-773-718-751-753-744-745-746-747-748-749-750-752-754-755-756-757-719-772-774-775-709-713-714-710-711-712-702-716</t>
  </si>
  <si>
    <t>ΜΩΡΑΚΗ</t>
  </si>
  <si>
    <t>ΑΜ108446</t>
  </si>
  <si>
    <t>774-772-773-719-775-757-718-717-751-753-752-744-746-747-748-750-713-709-720-721-702-745-749-755-756-754-716-711-712-710-714</t>
  </si>
  <si>
    <t>ΓΚΟΥΤΣΙΛΑ</t>
  </si>
  <si>
    <t>ΑΚ409405</t>
  </si>
  <si>
    <t>733-720-721-753-711-713</t>
  </si>
  <si>
    <t>ΜΠΑΡΑΚΟΥ</t>
  </si>
  <si>
    <t>Χ095078</t>
  </si>
  <si>
    <t>757-750-753-720-721-714-746-747-751-713-711-712-717-756-773</t>
  </si>
  <si>
    <t>ΤΣΑΓΚΑ</t>
  </si>
  <si>
    <t>ΕΥΘΑΛΙΑ</t>
  </si>
  <si>
    <t>ΑΝ842715</t>
  </si>
  <si>
    <t>735-733-737-744-745-748-749-752-753-754-756-772-718-709-710-719-786-777-732-766-768-761-705-787-702-703-704-711-706-707-708-712-713-714-715-716-717-720-721-722-723-724-725-726-727-728-729-730-731-734-736-738-739-740-741-742-743-746-747-750-751-755-757-758-759-760-762-763-764-765-767-769-770-771-773-774-775-776-778-779-780-781-782-783-784-785</t>
  </si>
  <si>
    <t>ΚΑΓΙΟΓΛΟΥ</t>
  </si>
  <si>
    <t>ΠΑΡΑΣΚΕΥΑΣ</t>
  </si>
  <si>
    <t>ΑΕ332492</t>
  </si>
  <si>
    <t>760-761-733-734-711-713-714-717-720-721-746-747-750-751-753-756-757-773-844-704-706-707-708-724-725-727-728-762-771-776-783-784-739-741-742-763-769-770-780-781-735-736-737-738-702-703-705-709-710-712-715-716-718-719-722-723-726-729-730-731-732-740-743-744-745-748-749-752-754-755-758-759-764-765-766-767-768-772-774-775-777-778-779-782-785-786-787</t>
  </si>
  <si>
    <t>ΚΑΤΣΕΝΟΥ</t>
  </si>
  <si>
    <t>ΑΗ559666</t>
  </si>
  <si>
    <t>844-704-705-703-762-764-765-702-709-710-711-712-713-714-716-717-718-720-721-744-745-746-747-748-749-750-751-752-753-754-755-756-757-773-719-772-774-785-724-725-726-729-758-759-706-707-708-768-727-728-730-776-760-761-733-734-735-736-737-738-740-715-771-722-778-731-732-777-786-766-782-739-741-742-743-767-769-779-780-781-770-787</t>
  </si>
  <si>
    <t>ΜΑΜΟΥΓΚΑ</t>
  </si>
  <si>
    <t>ΑΒ927491</t>
  </si>
  <si>
    <t>722-723-777-778-786-766-767-780-703-704-706-707-709-710-712-713-716-717-718-719-721-725-727-728-730-731-732-735-736-743-754-755-757-760-762-768-770-772-779-781</t>
  </si>
  <si>
    <t>ΚΟΥΤΟΥΒΙΔΗ</t>
  </si>
  <si>
    <t>ΑΜ176369</t>
  </si>
  <si>
    <t>718-702-753-709-772-744-716-710-711-713-714-717-719-720-721-745-746-748-749-750-752-754-755-756-757-774-775</t>
  </si>
  <si>
    <t>ΑΝΤΩΝΙΟΥ</t>
  </si>
  <si>
    <t>Φ892524</t>
  </si>
  <si>
    <t>762-720-721-773-747-746-750-751-757-756-714-717-753-713-711</t>
  </si>
  <si>
    <t>ΜΠΑΡΤΖΗΣ</t>
  </si>
  <si>
    <t>ΚΩΣΤΑΝΤΙΝΟΣ</t>
  </si>
  <si>
    <t>ΑΜ734228</t>
  </si>
  <si>
    <t>704-705-844-775-720-721-757-714-744-772-755-756-710-713-711-712-709-702-750-751-752-748-745-746-747-719-773-774-749-753-718-754-717-716</t>
  </si>
  <si>
    <t>ΠΟΙΜΕΝΙΔΟΥ</t>
  </si>
  <si>
    <t>ΑΝΑΤΟΛΗ</t>
  </si>
  <si>
    <t>Χ317260</t>
  </si>
  <si>
    <t>734-733-771-776-773-757-783-784-751-750-747-746-727-728-725-724-719-711-717-714-713-720-721-769-770-756-708-707-704-706-844-753-781-780-729-762-763-742-741-739-740-702-703-705-709-710-712-715-716-718-722-723-726-730-731-732-735-736-737-738-743-744-745-748-749-752-755-754-758-759-760-761-764-765-766-767-768-772-774-775-777-778-779-782-785-786-787</t>
  </si>
  <si>
    <t>ΚΑΚΡΗΣ</t>
  </si>
  <si>
    <t>ΑΟ075149</t>
  </si>
  <si>
    <t>711-713-714-717-720-721-746-747-750-751-756-757-773-724-725-706-707-708-762-704-844-702-712-709-710-716-718-719-744-745-748-749-752-753-754-765-772-774-775-703-705-726-730-731-732-733-735-736-737-738-740-760-761-764-766-768-777-785-786</t>
  </si>
  <si>
    <t>Δ (748)</t>
  </si>
  <si>
    <t>ΠΑΓΩΝΗ</t>
  </si>
  <si>
    <t>ΑΜ077587</t>
  </si>
  <si>
    <t>754-749-748-744-745-774-752-718-709-772-719-753-712-702-751-750-713-757-747-711-714-773-720-717-755-710-716</t>
  </si>
  <si>
    <t>ΤΣΟΛΑΚΗ</t>
  </si>
  <si>
    <t>ΧΡΙΣΤΟΣ</t>
  </si>
  <si>
    <t>Χ376061</t>
  </si>
  <si>
    <t>756-753-757-773-750-751-746-747-713-711-714-720-721-734-733-717-724-725-762-707-708-706-727-728-844-704</t>
  </si>
  <si>
    <t>ΝΤΟΗ</t>
  </si>
  <si>
    <t>ΝΤΡΙΛΟΝΑ</t>
  </si>
  <si>
    <t>ΓΚΙΟΒΑΛΙΝ</t>
  </si>
  <si>
    <t>ΑΝ096441</t>
  </si>
  <si>
    <t>774-719-748-749-744-755-752-718-745-709-702-716-754-712-710-772-773-757-746-747-750-751-753-756-713-714-721-711</t>
  </si>
  <si>
    <t>ΝΤΟΥΚΟΛΗ</t>
  </si>
  <si>
    <t>ΠΑΝΟ</t>
  </si>
  <si>
    <t>ΑΜ301261</t>
  </si>
  <si>
    <t>704-705-844-762-717-718-720-721-773-744-745-746-747-748-749-750-751-752-753-754-755-756-757</t>
  </si>
  <si>
    <t>ΑΓΓΕΛΑ</t>
  </si>
  <si>
    <t>ΑΒ216582</t>
  </si>
  <si>
    <t>773-753-751-711-750-757-713-714-720-721</t>
  </si>
  <si>
    <t>ΧΑΛΚΙΑΣ</t>
  </si>
  <si>
    <t>ΑΙ285176</t>
  </si>
  <si>
    <t>724-762-708-707-757-756-750-747-734-721-720-713-711-844-704-706-714-717-725-746-751-773-784-783-781-780-776-771-770-769-763-742-741-739-728-727</t>
  </si>
  <si>
    <t>ΓΕΡΜΑΝΤΣΗ</t>
  </si>
  <si>
    <t>Ν732002</t>
  </si>
  <si>
    <t>761-760-738-736-737-735-733-734-730-785-740-731-732-766-705-768-786-749-748-755-744-752-774-775-777-718-754-772-709-719-745-703-726-764-765-702-712-716-723-729-743-758-759-767-778-782-787-715-722-779-762-707-708-724-710-753-756-711-713-720-721-747-757</t>
  </si>
  <si>
    <t>ΖΗΖΗΛΙΩΤΗ</t>
  </si>
  <si>
    <t>ΑΜ718421</t>
  </si>
  <si>
    <t>785-733-735-737-734-736-738-730-776-740-715-723-760-761-722-778-775-706-702-703-704-705-708-707-709-710-712-713-714-716-717-718-719-720-721-724-725-726-727-731-744-745-746-747-748-749-750-751-752-753-754-755-756-757-762-764-771-772-773-774-783-784</t>
  </si>
  <si>
    <t>ΧΡΙΣΤΙΔΗΣ</t>
  </si>
  <si>
    <t>Τ440831</t>
  </si>
  <si>
    <t>723-740-730-726-725-724-785-778-722-768-761-760-715-771-776-708-706-707-727-728-762-844-703-765-764-729-759-758-781-770-782-769-739-743-742-741-763-780-787-767-779-704-705-766-777-786-731-732-734-735-737-738-736-733-713-753-773-711-774-716-746-751-750-747-749-748-710-712-745-702-719-718-752-754-744-709-772-755-756-757-714-717-721-720</t>
  </si>
  <si>
    <t>ΒΟΥΡΛΑΚΗ</t>
  </si>
  <si>
    <t>ΣΤΕΦΑΝΙΑ</t>
  </si>
  <si>
    <t>ΑΒ845509</t>
  </si>
  <si>
    <t>775-757-774-773-772-702-720-721-717-709-749-754-710-711-712-713-714-719-755-756-748-750-751-752-716-744-746-747-745-753-718-768-703-844-704-705-707-708-715-722-723-724-725-726-727-728-729-730-731-732-733-734-735-736-738-739-740-741-742-743-758-759-760-761-762-763-764-765-766-767-769-770-771-776-777-778-779-780-781-783-784-785-786-787</t>
  </si>
  <si>
    <t>ΒΑΒΑΤΖΙΑΝΗ</t>
  </si>
  <si>
    <t>ΜΑΛΑΜΑΤΕΝΙΑ</t>
  </si>
  <si>
    <t>ΑΖ846399</t>
  </si>
  <si>
    <t>723-722-740-738-736-737-735-733-734-785-730-760-761-768-726-725-724-708-707-706-715-762-766-774-775-777-786-705-731-732-749-748-745-744-755-702-703-844-704-709-710-712-711-713-716-718-717-719-747-746-750-752-753-756-757-751-754-765-764-779-773-714-721-720-727-728-771-770-776-778-781-780-783-784-787-729-741-742-739-743-759-758-763-767-769</t>
  </si>
  <si>
    <t>ΜΑΛΛΙΩΡΑ</t>
  </si>
  <si>
    <t>ΑΟ348807</t>
  </si>
  <si>
    <t>768-761-760-730-714-738-736-735-737-733-734-785-706-702-707-708-709-710-711-712-713-716-717-718-719-720-721-724-725-726-740-743-744-745-746-747-748-749-750-751-752-753-754-755-756-757-762-771-772-773-774-775</t>
  </si>
  <si>
    <t>ΜΠΕΛΕΦΑ</t>
  </si>
  <si>
    <t>Φ332202</t>
  </si>
  <si>
    <t>768-782-781-760-704-705-720-721-775-753-757-751-713-773-774-738-736-758-769-741-739</t>
  </si>
  <si>
    <t>ΑΑ307975</t>
  </si>
  <si>
    <t>714-720-721-762-728-727-756-757-746-747-750-751-773-713-711-753-716-705-704-844-733-734-724-725-707-708-706-740-715-769-770-739-741-782-742-743-763</t>
  </si>
  <si>
    <t>ΑΝ995912</t>
  </si>
  <si>
    <t>726-708-707-768-731-732-736-738-749-751-755-766-774-775-785-702-703-705-709-712-716-718-719-744-745-748-752-754-772-777-786-737-735-730-760-761-764-765-740-706-711-713-720-750-757-844-704-714-717-724-721-734-747-773</t>
  </si>
  <si>
    <t>ΑΒΡΑΜΟΠΟΥΛΟΥ</t>
  </si>
  <si>
    <t>ΑΗ208909</t>
  </si>
  <si>
    <t>704-705-762-844-729-759-702-709-755-756-710-711-712-713-716-714-718-717-719-720-721-753-773-754-757-752-751-750-749-748-747-746-745-744-774-775-776-758</t>
  </si>
  <si>
    <t>ΚΑΡΑΜΠΙΚΑ</t>
  </si>
  <si>
    <t>ΑΗ292331</t>
  </si>
  <si>
    <t>761-760-738-737-733-736-734-735-730-768-785-724-725-726-740-705-704-744-745-746-747-748-749-750-751-752-753-754-755-756-709-710-711-712-713-714-718-716-720-721-773-772-774-775-719-706-707-708</t>
  </si>
  <si>
    <t>ΑΓΓΕΛΟΠΟΥΛΟΥ</t>
  </si>
  <si>
    <t>Χ616418</t>
  </si>
  <si>
    <t>748-747-746-745-749-754-755-756-757-750-753-751-752-720-721-744-717-718-711-712</t>
  </si>
  <si>
    <t>ΑΙ203869</t>
  </si>
  <si>
    <t>704-705-756-710-775-711-755-716-720-748-709-753-721-717-774-745-750-712-718-751-747-749-752-757-702-713-779-733-734-735-736-737-738-729-787-769-777-786-782-758</t>
  </si>
  <si>
    <t>ΒΑΛΑΒΑΝΗ</t>
  </si>
  <si>
    <t>ΝΕΦΕΛΗ</t>
  </si>
  <si>
    <t>ΣΩΤΗΡΙΟΣ-ΓΕΩΡΓΙΟΣ</t>
  </si>
  <si>
    <t>Χ194325</t>
  </si>
  <si>
    <t>774-772-753-752-750-751-747-748-744-702-757-749-754-713-719-773-746-709-745-775-718-717-720-721-711-712-755-756-710-714-716-762-724-725-726-844-704-705-706-707-708-783-784-727-728-768-729-758-759-764-765-703-730-715-740-776-733-734-735-736-737-738-785-760-761-781-782-731-732-777-786-766-739-769-770-779-780-741-742-763-767-743-787-771-778-723-722</t>
  </si>
  <si>
    <t>ΚΑΡΑΙΝΔΡΟΣ</t>
  </si>
  <si>
    <t>ΑΜ056768</t>
  </si>
  <si>
    <t>721-720-714-751-750</t>
  </si>
  <si>
    <t>ΣΙΝΑΠΗ</t>
  </si>
  <si>
    <t>ΑΒ681253</t>
  </si>
  <si>
    <t>716-718-773-717-720-721-756-755-746-747-751-748-749-750-752-754-744-745-757-753-702-709-711-712-713-714-774-719-772-706-708-707-724-725-726-728-727-737-733-734-735-738-736-760-730-776-785-783-784-786</t>
  </si>
  <si>
    <t>ΑΛΕΞΟΠΟΥΛΟΣ</t>
  </si>
  <si>
    <t>ΑΒ782210</t>
  </si>
  <si>
    <t>709-710-711-712-713-714-716-717-718-719-720-721-744-745-747-748-749-750-751-752-753-754-755-756-757-762-764-765-772-773-774-775-785-786-787-777-778-779-780-781-783-770-771-766-767-768-769-758-759-760-761-763-743-736-737-738-739-740-741-742-730-731-732-733-734-725-726-727-728-729</t>
  </si>
  <si>
    <t>ΛΥΜΠΕΡΟΦΩΤΗΣ</t>
  </si>
  <si>
    <t>ΑΗ034646</t>
  </si>
  <si>
    <t>713-709-714-711-712-757-710-746-747-755-756-745-744-748-749-750-751-752-753-718-716-720-721-772-774-773-719-717-754-702</t>
  </si>
  <si>
    <t>ΓΚΟΛΕΣ</t>
  </si>
  <si>
    <t>ΦΩΤΑΚΗΣ</t>
  </si>
  <si>
    <t>ΓΙΩΡΓΟΣ</t>
  </si>
  <si>
    <t>ΑΜ781037</t>
  </si>
  <si>
    <t>775-720-721-718-711-745</t>
  </si>
  <si>
    <t>ΠΑΤΣΑΚΑΣ</t>
  </si>
  <si>
    <t>ΑΗ288645</t>
  </si>
  <si>
    <t>720-721-733-734-706-776-724-717-725-746-747-707-708-711-714</t>
  </si>
  <si>
    <t>ΒΑΛΗ</t>
  </si>
  <si>
    <t>ΤΙΜΟΘΕΟΣ</t>
  </si>
  <si>
    <t>ΑΕ844555</t>
  </si>
  <si>
    <t>734-735-737-738-753-757-730-746-718-749-748-752-721-720</t>
  </si>
  <si>
    <t>ΖΟΥΜΠΑΚΗ</t>
  </si>
  <si>
    <t>ΑΖ715753</t>
  </si>
  <si>
    <t>713-748-749-745-744-750-747-746-752-757-751-755-754-718-709-753-774-775-773-772-719-720-721-756-712-711-710-714-717-716-702</t>
  </si>
  <si>
    <t>ΧΡΥΣΑΝΘΑΚΟΠΟΥΛΟΥ</t>
  </si>
  <si>
    <t>ΑΕ700481</t>
  </si>
  <si>
    <t>704-705-762-714-717-720-721-747-750-757-713-711-707-708-724</t>
  </si>
  <si>
    <t>ΠΑΠΑΛΟΠΟΥΛΟΥ</t>
  </si>
  <si>
    <t>ΑΗ593834</t>
  </si>
  <si>
    <t>754-753-749-718-755-748-752-744-756-745-719-757-750-709-775-746-747-713-720-721</t>
  </si>
  <si>
    <t>ΑΒ805868</t>
  </si>
  <si>
    <t>750-747-746-751-757-756-753-711-713-717-714-773-720-721</t>
  </si>
  <si>
    <t>ΑΡΣΕΝΙΑΔΗΣ</t>
  </si>
  <si>
    <t>ΜΩΥΣΗΣ</t>
  </si>
  <si>
    <t>ΑΑ080622</t>
  </si>
  <si>
    <t>714-713-717-751-757-773-721-720</t>
  </si>
  <si>
    <t>ΚΑΛΟΓΕΡΟΠΟΥΛΟΥ</t>
  </si>
  <si>
    <t>ΑΚ142945</t>
  </si>
  <si>
    <t>717-714-713-711-720-750-751-753-757-721-747-756-702-709-710-773-712-716-718-719-744-745-748-749-752-755-772-774</t>
  </si>
  <si>
    <t>ΚΕΧΑΓΙΑ</t>
  </si>
  <si>
    <t>ΑΗ764682</t>
  </si>
  <si>
    <t>733-734-704-768-760-761-777-703-705-735-736-737-738-739-740-741-742-743-744-745-746-747-748-749-750-751-752-753-754-755-756-757-758-759-762-763-764-765-766-767-769-770-771-772-773-774-775-776-778-779-780-781-782-783-784-785-786-787-844-707-710-711-712-713-714-715-716-717-718-719-720-721-722-723-724-725-726-727-728-729-730-732</t>
  </si>
  <si>
    <t>ΔΗΜΗΤΡΑΚΟΠΟΥΛΟΣ</t>
  </si>
  <si>
    <t>ΑΚ626786</t>
  </si>
  <si>
    <t>755-756-757-720-721-754-714-719-774-772-775-718-747-746-748-744-750-752-753-745-749-712-711-709-773-717-713-710</t>
  </si>
  <si>
    <t>ΜΗΤΑΚΟΥΔΗΣ</t>
  </si>
  <si>
    <t>ΒΑΓΙΟΣ</t>
  </si>
  <si>
    <t>ΑΚ069810</t>
  </si>
  <si>
    <t>749-744-752-753-713-757-747-748-775-774-745-754-718-709-719-755-772-702-712-716-710-750-711-720-721-751-746-717-773-724-725-726-738-723-731-737-736-735-766-722-733-732-729-734-782-786-781-779-743-762-759-758-763-780</t>
  </si>
  <si>
    <t>ΝΤΟΒΑ</t>
  </si>
  <si>
    <t>ΑΝΔΡΟΜΑΧΗ</t>
  </si>
  <si>
    <t>ΑΝ657179</t>
  </si>
  <si>
    <t>716-720-721-718-717-775-773-714-719-709-712-713-762</t>
  </si>
  <si>
    <t>ΠΑΝΑΓΟΥΛΙΑ</t>
  </si>
  <si>
    <t>ΑΖ736385</t>
  </si>
  <si>
    <t>765-764-703-762-749-755-744-748-752-775-774-718-745-754-719-772-709-756-753-716-712-710-702-757-750-747-721-720-713-711-773-751-746-717-714-705-704-726-724-725-738-736-735-785-737-733-734-768-766-731-732-786-777-740-761-760-708-707-706-730-844</t>
  </si>
  <si>
    <t>ΠΑΠΑΣΠΥΡΟΥ</t>
  </si>
  <si>
    <t>ΑΙ909355</t>
  </si>
  <si>
    <t>702-710-713-709-711-712-714-716-717-718-719-720-721-744-745-746-747-748-749-750-756-751-752-753-754-757-772-775-773</t>
  </si>
  <si>
    <t>ΚΟΛΙΓΑ</t>
  </si>
  <si>
    <t>ΑΝΤΩΝΙΑ</t>
  </si>
  <si>
    <t>Χ106388</t>
  </si>
  <si>
    <t>773-774-772-748-749-746-747-745-755-756-757-754-752-750-753-751-744-718-721-720-713-709-711-710-719-702-714-717-716-712</t>
  </si>
  <si>
    <t>ΚΟΒΑΝΗ</t>
  </si>
  <si>
    <t>Χ211457</t>
  </si>
  <si>
    <t>709-711-712-713-714-716-718-744-745-746-747-748-749-750-751-752-753-754-755-756-757-772-773-774-775-702-717-719-720-721-710-706-707-708</t>
  </si>
  <si>
    <t>ΧΙΛΕΛΗ</t>
  </si>
  <si>
    <t>Χ599238</t>
  </si>
  <si>
    <t>714-716-713-718-721-709-775-720-711-712-710-717-719-745-746-747-748-749-750-751-752-753-755-756-757-744-772-773-774-754</t>
  </si>
  <si>
    <t>ΜΠΟΚΑΡΗ</t>
  </si>
  <si>
    <t>Χ327394</t>
  </si>
  <si>
    <t>750-746-747-751-757-713-756-753-773-720</t>
  </si>
  <si>
    <t>ΡΑΖΑΚΙΑ</t>
  </si>
  <si>
    <t>ΑΙ318471</t>
  </si>
  <si>
    <t>772-774-775-768-757-756-755-753-752-751-754-750-749-748-747-746-745-744-721-720-719-718-717-713-714-710-709-702</t>
  </si>
  <si>
    <t>ΑΒ404015</t>
  </si>
  <si>
    <t>777-786-766-732-731-717-750-757-748-721-703-746-749</t>
  </si>
  <si>
    <t>ΚΟΥΤΣΙΑΡΙΔΑ</t>
  </si>
  <si>
    <t>ΑΒ431745</t>
  </si>
  <si>
    <t>768-702-709-710-711-712-713-714-716-717-718-719-720-721-744-745-746-747-748-749-750-751-752-753-754-755-756-757-772-773-774-775-733-734-735-736-737-738-703-844-704-705-706-707-708-715-724-725-726-730-740-760-761-762-764-765-785</t>
  </si>
  <si>
    <t>ΚΩΣΤΟΥΛΑΣ</t>
  </si>
  <si>
    <t>ΑΚ692373</t>
  </si>
  <si>
    <t>702-709-710-711-712-713-716-717-718-719-720-721-745-746-747-748-749-750-751-752-753-754-755-756-757-773-774</t>
  </si>
  <si>
    <t>ΜΠΟΥΤΑΚΗ</t>
  </si>
  <si>
    <t>ΑΑ479559</t>
  </si>
  <si>
    <t>760-761-776-730-785-703-844-704-705-706-707-708-724-725-726-731-732-733-734-735-736-737-738-740-762-764-765-766-768-777-786-719-772-774-775-702-709-710-711-712-713-714-716-717-718-745-746-747-748-749-750-751-752-753-754-755-756-757-773-744-720-721-782-715-722-723-727-728-729-739-741-742-743-758-759-763-767-769-770-771-778-779-780-781-783-784-787</t>
  </si>
  <si>
    <t>ΜΠΟΥΡΟΥΝΤΖΗ</t>
  </si>
  <si>
    <t>ΑΖ761969</t>
  </si>
  <si>
    <t>706-844-721-753-746-747-757-756-750-707-708-704-724-725-717-713-751-775-774-762-763-733-734-770-739-714-711-720-773-727-728-776-780-771-783-784-741-769-742-781</t>
  </si>
  <si>
    <t>ΑΡΑΜΠΑΤΖΗ</t>
  </si>
  <si>
    <t>ΑΗ416074</t>
  </si>
  <si>
    <t>723-778-722-771-740-715-735-737-733-736-734-738-785-768-786-766-782-732-731-783-784-787-781-780-779-769-776-770-767-765-764-763-762-761-760-759-758-743-742-741-739-777-730-729-728-727-726-725-724-708-707-706-705-704-844-703-702-709-710-711-712-713-714-716-717-718-719-720-721-744-745-746-747-748-749-750-751-752-753-754-755-756-757-772-773-774-775</t>
  </si>
  <si>
    <t>ΒΑΙΤΣΟΠΟΥΛΟΥ</t>
  </si>
  <si>
    <t>ΑΟ404063</t>
  </si>
  <si>
    <t>741-739-742-770-769-763-780-781-725-724-784-783-771-706-844-704-707-708-762-776-727-728-773-711-720-721-717-714-713-746-747-750-751-753-756-757-733-734</t>
  </si>
  <si>
    <t>ΞΕΡΑ</t>
  </si>
  <si>
    <t>ΧΡΙΣΤΟΦΟΡΙΑ</t>
  </si>
  <si>
    <t>ΒΗΣΣΑΡΙΩΝ</t>
  </si>
  <si>
    <t>ΑΝ837929</t>
  </si>
  <si>
    <t>844-704-705-709-710-711-712-713-703-706-707-708-714-716-717-718-719-720-721-724-725-733-734-746-747-750-751-753-756-757-762-763-773-780-781-726-727-728-729-730-731-732-735-736-737-738-739-740-741-742-743-744-745-748-749-752-754-755-758-759-760-761-764-765-766-767-768-769-770-771-772-774-775-776-777-778-779-783-784-785-786-787</t>
  </si>
  <si>
    <t>ΚΟΥΤΣΟΥΜΠΟΥ</t>
  </si>
  <si>
    <t>ΑΕ732048</t>
  </si>
  <si>
    <t>746-747-713-774-775-772-757-755-756-748-749-745-750-744-752-753-751-754-720-721-719-714-773-712-711-702-709-710</t>
  </si>
  <si>
    <t>ΔΗΜΗΤΡΑΚΗΣ</t>
  </si>
  <si>
    <t>844-704-705-703-765-702-706-707-708-709-710-711-712-713-714-716-717-718-719-720-721-725-726-730-731-732-733-734-735-736-737-738-740-744-745-746-747-748-749-750-751-752-753-754-755-756-757-760-761-762-766-768-772-773-774-775-777-785-786</t>
  </si>
  <si>
    <t>ΛΥΧΟΥΔΗ ΜΟΣΧΟΒΑΚΟΥ</t>
  </si>
  <si>
    <t>ΑΑ003923</t>
  </si>
  <si>
    <t>757-748-746-747-750-756-720-753-762</t>
  </si>
  <si>
    <t>ΠΡΟΒΙΑΣ</t>
  </si>
  <si>
    <t>ΣΕΡΑΦΕΙΜ</t>
  </si>
  <si>
    <t>ΑΚ949658</t>
  </si>
  <si>
    <t>721-720-713-711-747-750-757-734-751-714-717-756-746-753-733-773-762-707-708-771-776-780-770-706-727-728-704-769-781-783-763-739-741-742-725-844-724-784</t>
  </si>
  <si>
    <t>Δ (745)</t>
  </si>
  <si>
    <t>ΚΑΝΑΛΟΥΠΙΤΗ</t>
  </si>
  <si>
    <t>Χ935585</t>
  </si>
  <si>
    <t>713-749-745-748-747-746-709-718-756-755-753-752-754-750-757-744-751-712-711-721-720-774-704-705</t>
  </si>
  <si>
    <t>ΘΕΟΔΩΡΙΔΟΥ</t>
  </si>
  <si>
    <t>Χ864258</t>
  </si>
  <si>
    <t>733-734-735-736-737-738-709-710-711-712-713-714-716-717-718-719-720-721-724-725-727-726-729-730-731-732-702-704-705-706-740-745-746-747-748-749-750-751-752-753-754-755-756-757-758-759-760-761-762-768-772-773-774-775-776-777-783-784-785-786</t>
  </si>
  <si>
    <t>ΦΑΚΑ</t>
  </si>
  <si>
    <t>ΑΑ046675</t>
  </si>
  <si>
    <t>720-717-753-757-746-747-750-756-751-713-718-744-748-749-754-752-755-745</t>
  </si>
  <si>
    <t>ΚΩΣΤΑΝΤΟΠΟΥΛΟΥ</t>
  </si>
  <si>
    <t>ΑΕ334150</t>
  </si>
  <si>
    <t>760-761-733-734-735-736-737-738-730-768-758-702-709-710-712-716-718-719-705-731-776-703-715-729-723-706-707-708-711-713-714-717-720-721-774-775-753-756-757</t>
  </si>
  <si>
    <t>ΚΑΡΑΜΑΝΛΗΣ</t>
  </si>
  <si>
    <t>ΔΩΡΟΠΟΥΛΟΣ</t>
  </si>
  <si>
    <t>ΑΒ456584</t>
  </si>
  <si>
    <t>711-713-714-717-720-721-746-747-750-751-753-756-757-773-702-709-710-712-716-718-719-744-745-748-749-752-754-755-772-774-775</t>
  </si>
  <si>
    <t>ΓΡΗΓΟΡΙΑΔΟΥ</t>
  </si>
  <si>
    <t>ΑΙ350314</t>
  </si>
  <si>
    <t>704-706-708-711-713-714-717-720-721-724-725-727-728-733-734-739-741-742-746-747-750-751-753-756-757-762-763-769-770-771-773-776-780-781-783-784</t>
  </si>
  <si>
    <t>ΚΟΥΡΕΤΣΗ</t>
  </si>
  <si>
    <t>ΑΙ806310</t>
  </si>
  <si>
    <t>760-761-733-734-735-738-737-736-704-705-730-708-709-710-711-712-713-714-715-716-717-718-719-720-721-740-744-745-746-747-768-748-749-750-751-752-753-754-755-756-757-762-758-759-776-772-773-774-775-785-783-784</t>
  </si>
  <si>
    <t>ΑΡΓΥΡΟΠΟΥΛΟΥ</t>
  </si>
  <si>
    <t>Χ478386</t>
  </si>
  <si>
    <t>761-760-768-757-756-755-753-754-750-749-748-747-746-745-744-702-718-717-716-709-710-711-712-713-719-720-721-751-752-773-774-775-738-736-737-733-734-735-772-707-708-785-786-784-783-776-762-730-729-725-726-727-728-703-704-705-706-715</t>
  </si>
  <si>
    <t>ΦΑΣΙΑΝΟΥ</t>
  </si>
  <si>
    <t>ΒΑΣΙΛΕΙΑ ΜΕΛΙΝΑ</t>
  </si>
  <si>
    <t>ΑΒ774519</t>
  </si>
  <si>
    <t>748-753-754-757-755-756-743-744-746-747-749-750-709-711-712-713-714-772-774-773-775-752-718-719-751-710-720-717-702-716-762-704-705-844-703-783-784-727-728-764-765-736-737-733-734-735-740-768-708-707-706-760-761-776-785-715-771-722-723-778-758-759-786-777-780-781-782-769-763-739</t>
  </si>
  <si>
    <t>ΑΖ832577</t>
  </si>
  <si>
    <t>785-738-736-737-735-734-733-740-715-730-720-771-776-778-723-722-760-761-783-768-707-708-727-718-709-748-749-756-754-745-746-747-710-711-712-702-716-713-714-744-719-755-750-751-752-757-774-773-772-704-705-703-844-764-765-786-731-732-766</t>
  </si>
  <si>
    <t>ΖΥΓΟΥΚΗ</t>
  </si>
  <si>
    <t>ΦΑΝΗ</t>
  </si>
  <si>
    <t>ΑΙ027118</t>
  </si>
  <si>
    <t>717-753-713-775-716-751-749-752-720-754-721-714-710-757-709-711-712-719-744-746-747-772-774-702</t>
  </si>
  <si>
    <t>ΑΡΒΑΝΙΤΑΚΗ</t>
  </si>
  <si>
    <t>ΜΑΡΙΑΝΘΗ</t>
  </si>
  <si>
    <t>Φ035899</t>
  </si>
  <si>
    <t>702-703-704-705-706-707-708-709-710-711-712-713-714-715-716-717-718-719-720-721-722-723-724-725-726-727-728-729-730-731-732-733-734-735-736-737-738-739-740-760-762-764-765-768-771-773-783-784</t>
  </si>
  <si>
    <t>ΣΠΥΡΙΔΟΥΛΑ</t>
  </si>
  <si>
    <t>Χ830017</t>
  </si>
  <si>
    <t>753-744-745-746-747-748-749-757-754-755-750-717-711-712-718-719-756-714-774-773-772-751-710-752-709-702-720-721</t>
  </si>
  <si>
    <t xml:space="preserve">ΘΕΟΧΑΡΟΠΟΥΛΟΥ </t>
  </si>
  <si>
    <t xml:space="preserve">ΕΛΈΝΗ </t>
  </si>
  <si>
    <t>ΑΙ069105</t>
  </si>
  <si>
    <t>721-718-720-753-750-749-748-744-717-757</t>
  </si>
  <si>
    <t>ΚΟΛΙΩΝΗ</t>
  </si>
  <si>
    <t>ΑΕ725742</t>
  </si>
  <si>
    <t>751-750-753-757-756-746-747-711-713-714-773-720-721-762-704-734-733-724-725-772-702-718-719-709-774-775-755-752-749-754-744-745-716-705-726-735-736-737-738-782-768-765</t>
  </si>
  <si>
    <t>ΡΟΜΠΟΥ</t>
  </si>
  <si>
    <t>ΕΥΤΕΡΠΗ</t>
  </si>
  <si>
    <t>AE340918</t>
  </si>
  <si>
    <t>734-707-708-762-724-711-713-720-721-747-750-757-741</t>
  </si>
  <si>
    <t>ΝΤΙΝΟΥ</t>
  </si>
  <si>
    <t>ΑΚ829309</t>
  </si>
  <si>
    <t>753-757-755-756-702-709-746-747-775-774-750-720-721-745</t>
  </si>
  <si>
    <t>ΤΣΕΜΠΕΡΛΗ</t>
  </si>
  <si>
    <t>ΑΟ135113</t>
  </si>
  <si>
    <t>757-756-746-747-711-713-714-717-720-721-750-751-753-773-733-734-709-702-774-718-716-748-744-745-749-754-755-735-736-737-738</t>
  </si>
  <si>
    <t>ΔΕΛΗΜΠΟΡΙΔΟΥ</t>
  </si>
  <si>
    <t>ΑΝ056232</t>
  </si>
  <si>
    <t>720-721-717-747-746-772-773-775-774-718-719-744-757-756-755-745-753-752-751-709-714-713-749-748-754-716-702-710-711-712-750</t>
  </si>
  <si>
    <t>ΜΑΥΡΟΔΗ</t>
  </si>
  <si>
    <t>Χ413614</t>
  </si>
  <si>
    <t>734-733-781-776-783-784-724-728-727-771-762-706-707-708-844-704-711-713-714-746-747-773-750-753-751-756-757-717-720-721-770-763-741-742-769-739-780</t>
  </si>
  <si>
    <t>ΓΙΩΤΗ</t>
  </si>
  <si>
    <t>Χ796251</t>
  </si>
  <si>
    <t>734-733-704-708-844-762-703-707-706-756-757-702-714-746-747-717-721-711-713-773-720-750-751-753</t>
  </si>
  <si>
    <t>ΜΕΛΛΟΣ</t>
  </si>
  <si>
    <t>ΑΗ576259</t>
  </si>
  <si>
    <t>718-719-775-716-721-720-772-774-749-752-754-756-755-744-745-748-753-709-710-712-711-714-713-717-702</t>
  </si>
  <si>
    <t>ΑΕ708270</t>
  </si>
  <si>
    <t>704-702-709-710-711-712-713-714-716-717-718-719-720-721-744-745-746-747-748-749-750-751-752-753-754-755-756-757-772-773-774-775</t>
  </si>
  <si>
    <t>ΣΥΜΕΩΝΙΔΟΥ</t>
  </si>
  <si>
    <t>ΑΗ180652</t>
  </si>
  <si>
    <t>734-733-776-771-763-724-769-739-741-742-770-781-780-725-727-729-717-720-721-753-757-713-844</t>
  </si>
  <si>
    <t>ΔΗΜΟΛΑΣ</t>
  </si>
  <si>
    <t>ΔΗΜΟΣ</t>
  </si>
  <si>
    <t>Ρ476276</t>
  </si>
  <si>
    <t>784-783-706-707-708-724-725-751-753-762-756-757-720-721-773-746-747-750-713-714</t>
  </si>
  <si>
    <t>ΒΑΙΚΟΥΣΗ</t>
  </si>
  <si>
    <t>ΛΑΟΚΡΑΤΗΣ</t>
  </si>
  <si>
    <t>ΑΝ203727</t>
  </si>
  <si>
    <t>753-757-746-747-744-745-748-749-752-754-756-750-751-718-709-710-711-713-714-772-719-773-720-721</t>
  </si>
  <si>
    <t>ΣΚΟΥΛΗΚΑΡΙΤΗ</t>
  </si>
  <si>
    <t>ΑΕ639718</t>
  </si>
  <si>
    <t>720-745-744-746-747-748-749-750-753-754-755-756-775</t>
  </si>
  <si>
    <t>ΣΚΑΠΕΡΔΑ</t>
  </si>
  <si>
    <t>ΑΛΚΗΣΤΙΣ</t>
  </si>
  <si>
    <t>Τ436111</t>
  </si>
  <si>
    <t>776-734-770-780-741-708-724-771-762-757-747-711-713-707-720-721-769-787-739-729-777-779-782-781-786-758-759-763-735-732-731-730-733-725-726-727-728-736-737-738-740-743-744-745-746-748-749-750-785-706-703-702-722-723-714-715-716-717-718-719-764-765-766-767-768-772-773-774-775-783-784-778-844-704-709-710-712-760-761-751-752-753-754-755-756-742-705</t>
  </si>
  <si>
    <t>ΓΚΙΔΙΚΑ</t>
  </si>
  <si>
    <t>ΑΖ419087</t>
  </si>
  <si>
    <t>723-722-733-734-747-746-750-751-753-756-757-711-717-713-714-720-721-773-762-704-724-725-844-707-706-708-738-731-749-748-732-755-752-744-754-766-774-772-775-785-786-705-718-736-737-745-709-777-710-716-702-712-719-726-735-740-768-761-760-764-765-730-703-771-715-727-728-729-739-741-742-743-758-759-763-767-769-770-776-782-783-784-787-778-779-780-781</t>
  </si>
  <si>
    <t>ΓΚΙΚΑ</t>
  </si>
  <si>
    <t>ΜΑΡΙΕ</t>
  </si>
  <si>
    <t>ΑΝ569372</t>
  </si>
  <si>
    <t>720-713-751-709-714-746-747-756-711-712-717-755-757-754-745</t>
  </si>
  <si>
    <t>ΛΑΜΠΡΟΓΕΩΡΓΟΥ</t>
  </si>
  <si>
    <t>ΑΗ264683</t>
  </si>
  <si>
    <t>733-734-711-713-714-717-720-721-746-747-750-751-753-756-757-773</t>
  </si>
  <si>
    <t>ΚΑΡΑΣΑΒΒΑ</t>
  </si>
  <si>
    <t>ΙΣΜΗΝΗ</t>
  </si>
  <si>
    <t>ΜΙΧΑΛΑΚΗΣ</t>
  </si>
  <si>
    <t>ΑΚ005303</t>
  </si>
  <si>
    <t>713-714-711-710-709-712-717-749-754-755-756-757-752-748-745-746-747-744-750-751-753-720-721</t>
  </si>
  <si>
    <t>Εμμανουηλίδη</t>
  </si>
  <si>
    <t>Βασιλική</t>
  </si>
  <si>
    <t>ΑΜ567365</t>
  </si>
  <si>
    <t>739-769-770-762-782-767-758-759-757-756-755-714-753-750-747-746-773-711-712-713-752-745-748-749-710-754-716-718-719-709-744-774-775-704-705-780-781-742-743-741-763-787-779-717-768-702-703-708-707-706-844-786-732-731-777-766-721-720-738-736-737-785-734-733-735-740-729-784-783-751-772-771-727-728-724-725-760-761-715-726-730-776-765-764-778-722-723</t>
  </si>
  <si>
    <t>ΚΑΡΑΚΑΤΣΑΝΙΔΟΥ</t>
  </si>
  <si>
    <t>ΑΖ360174</t>
  </si>
  <si>
    <t>776-736-737-738-735-734-733-730-785-777-768-766-732-731-761-786-725-726-724-760-740-755-756-757-710-754-746-747-745-717-716-709-711-702-712-713-718-721-720-705-704-703-719-748-750-749-753-752-751-762-774-773-772-764-714-765-744-706-708-707</t>
  </si>
  <si>
    <t>ΜΗΤΣΙΩΝΗ</t>
  </si>
  <si>
    <t>ΑΝΕΤΑ</t>
  </si>
  <si>
    <t>ΑΙ217037</t>
  </si>
  <si>
    <t>704-705-703-729-706-726-759-764-765-702-707-708-709-710-711-712-713-714-715-716-717-718-719-720-721-722-723-724-725-727-728-730-731-732-733-734-735-736-737-738-739-740-741-742-743-744-745-746-747-748-749-750-751-752-753-754-755-756-757-758</t>
  </si>
  <si>
    <t>ΑΓΓΕΛΑΤΟΥ</t>
  </si>
  <si>
    <t>ΓΕΡΑΣΙΜΟΣ</t>
  </si>
  <si>
    <t>ΑΕ157735</t>
  </si>
  <si>
    <t>773-776-757-756-783-733-725-720-717-713-711-707-844-734-746-750-753-762-744-727-721-784-704-728-751-714-706-708</t>
  </si>
  <si>
    <t>ΚΑΡΑΓΚΙΟΖΙΔΗΣ</t>
  </si>
  <si>
    <t>ΑΗ350302</t>
  </si>
  <si>
    <t>738-731-766-737-736-735-745-748-754-755-744-718-778-752-743-785-720-721-747-750-713-711-707-724-762-757-708</t>
  </si>
  <si>
    <t>ΣΙΟΥΓΚΡΟΥ</t>
  </si>
  <si>
    <t>ΜΑΡΙΑΝΝΑ</t>
  </si>
  <si>
    <t>ΑΜ215494</t>
  </si>
  <si>
    <t>748-702-754-755-757-756-787-767-744-709-711-712-717-710-713-753-746-747-749-750-751-752-745-714-716-774-772-758-759-729-719-731-732-777-786-766-785-737-738-739-741-742-743-720-721-723-724-725-726-727-733-707-768-769-770-773-760-762-763-779-780-781-782-775-703-704-705</t>
  </si>
  <si>
    <t>ΤΣΙΤΡΟΥΔΗΣ</t>
  </si>
  <si>
    <t>ΑΗ349389</t>
  </si>
  <si>
    <t>733-734-735-736-737-738-702-703-704-705-706-707-708-709-710-711-712-713-714-715-716-717-718-719-720-721-722-723-724-725-726-727-728-729-730-731-732-739-740-741-742-743-744-745-746-747-748-749-750-751-752-753-754-755-756-757-758</t>
  </si>
  <si>
    <t>ΒΛΑΧΑΙΤΗΣ</t>
  </si>
  <si>
    <t>ΑΒ276401</t>
  </si>
  <si>
    <t>750-757-756-746-744-711-754-713-721-720-717-747-748-749</t>
  </si>
  <si>
    <t>ΑΖ271996</t>
  </si>
  <si>
    <t>768-761-760-730-718-710-711-712-714-720-744-745-748-749-750-755-756-757</t>
  </si>
  <si>
    <t>ΛΙΑΡΟΚΑΠΗ</t>
  </si>
  <si>
    <t>ΠΟΛΥΞΕΝΗ</t>
  </si>
  <si>
    <t>ΑΜ513632</t>
  </si>
  <si>
    <t>711-713-751-750-746-747-753-757-717-720-721-773-714-756</t>
  </si>
  <si>
    <t>ΚΑΙΣΙΔΟΥ</t>
  </si>
  <si>
    <t>ΑΟ453814</t>
  </si>
  <si>
    <t>702-703-704-705-706-707-708-709-710-711-712-713-714-715-716-717-718-719-720-721-722-723-724-725-726-727-728-729-730-731-732-733-734-735-736-737-738-739-740-741-742-743-744-745-746-747-748-749-750-751-752-753-754-755-756-757-758-759-760-761-762-763-764-766-765-767-768-769-770-771-772-773-774-775-776-777-778-779-780-781-782-783-784-785-786-787</t>
  </si>
  <si>
    <t>ΜΟΥΡΑΤΙΔΟΥ</t>
  </si>
  <si>
    <t>ΑΛΕΞΙΟΣ</t>
  </si>
  <si>
    <t>ΑΜ540544</t>
  </si>
  <si>
    <t>714-746-747-756-713-711-751-750-757-773-753-744-709-710-717-716-755-772-745-718-748-749-754-752-774-712-719-702-721-720-775</t>
  </si>
  <si>
    <t>ΠΑΝΤΕΛΗ</t>
  </si>
  <si>
    <t>ΑΒ073100</t>
  </si>
  <si>
    <t>844-704-705-702-703-706-707-708-709-710-711-712-713-714-715-716-717-718-719-720-721-722-723-724-725-726-727-728-729-730-731-732-733-734-736-737-738-739-740-741-742-743-744-745-746-747-748-749-750-751-752-753-754-755-756-757-758-759-760-761-762-763-764-765-766-767-768-769-770-771-772-773-774-775-776-777-778-779-780-781-782-783-784-785-786-787</t>
  </si>
  <si>
    <t>ΑΙ783601</t>
  </si>
  <si>
    <t>762-753-746-711-720-721-747-757-750-751-773-713</t>
  </si>
  <si>
    <t>ΚΑΣΙΔΙΑΡΗ</t>
  </si>
  <si>
    <t>Χ376027</t>
  </si>
  <si>
    <t>713-714-717-721-746-747-750-751-753-756-757-706-707-708-733-734-776-762-784-727-771-781-763-769</t>
  </si>
  <si>
    <t>ΚΡΗΤΙΚΟΥ</t>
  </si>
  <si>
    <t>ΑΒ007062</t>
  </si>
  <si>
    <t>744-709-746-717-753-751-748-747-755-756-721-716-714-713-745-749-750-757-720</t>
  </si>
  <si>
    <t>ΜΠΡΟΥΤΣΟΥ</t>
  </si>
  <si>
    <t>ΑΖ761599</t>
  </si>
  <si>
    <t>768-738-736-745-755-749-744-734-737-785-774-754-748-752-775-731-766-723-732-786-733-760-730-718-703-709-711-710-715-716-702-719-725-740-753-756-761-764-765-772-777-729-758-759-779-782-739-767-722-705-784-783-781-780-776-773-771-770-769-763-762-757-751-750-747-746-742-741-728-727-724-720-717-713-708-707-706-844-721</t>
  </si>
  <si>
    <t>ΜΑΣΣΗ</t>
  </si>
  <si>
    <t>ΑΖ300547</t>
  </si>
  <si>
    <t>775-773-719-720-757-774-772-756-755-753-721-718-754-746-747-750-751-748-749-752-745-744-717-711-709-702-714-716-710-713</t>
  </si>
  <si>
    <t>ΜΑΥΡΟΥ</t>
  </si>
  <si>
    <t>Σ668556</t>
  </si>
  <si>
    <t>714-717-709-718-751-747-753-754-756-755-720-721-746-749-750-745-711-712-713-710-744-752</t>
  </si>
  <si>
    <t>ΚΟΚΑ</t>
  </si>
  <si>
    <t>ΑΡΒΙΝΤΑ</t>
  </si>
  <si>
    <t>ΝΙΚΟ</t>
  </si>
  <si>
    <t>ΑΜ569361</t>
  </si>
  <si>
    <t>753-756-747-750-757-713-711-746-751-714-717-773-720-721</t>
  </si>
  <si>
    <t xml:space="preserve">ΤΗΛΕΜΑΧΟΥ </t>
  </si>
  <si>
    <t>ΧΑΡΑΛΑΜΠΙΑ</t>
  </si>
  <si>
    <t>Χ506277</t>
  </si>
  <si>
    <t>720-757-750-744-748-702-745-721-752-774-773-719-749-753-713-717-718-711-712-714-751-709-754-755-756-710-746-747</t>
  </si>
  <si>
    <t>ΛΙΑΜΕΤΗ</t>
  </si>
  <si>
    <t>Σ653503</t>
  </si>
  <si>
    <t>702-709-710-711-712-713-714-616-717-718-719-720-744-745-746-747-748-749-750-751-752-753-754-755-756-757-772-774-775</t>
  </si>
  <si>
    <t>ΦΩΤΙΑΔΟΥ</t>
  </si>
  <si>
    <t>Ιωαννης</t>
  </si>
  <si>
    <t>ΑΖ315638</t>
  </si>
  <si>
    <t>757-717-746-747-750-756-753-773-751-721-720-714-713-711-702-709-710-718-719-745-748-749</t>
  </si>
  <si>
    <t>Φωτεινοπούλου</t>
  </si>
  <si>
    <t>Γεώργιος</t>
  </si>
  <si>
    <t>ΑΗ229115</t>
  </si>
  <si>
    <t>763-733-734-746-713-717-750-751-753-756-757-773-711-720-721-762-724-725-704-727-844-728</t>
  </si>
  <si>
    <t>ΨΥΧΟΓΙΟΥ</t>
  </si>
  <si>
    <t>ΑΜ000694</t>
  </si>
  <si>
    <t>775-773-747-746-750-757-719-774-716-718-745-748-749-753-754-756-772-752-744-720-721-709-702-717-786-777-782-731-732-710-711-712-713-751-714-741-742-755-723-766</t>
  </si>
  <si>
    <t>ΚΟΝΤΑΛΗ</t>
  </si>
  <si>
    <t>ΑΝ727061</t>
  </si>
  <si>
    <t>734-733-753-756-757-711-713-714-720-721-746-747-750-751-762-771-773-781-704-844-724-725-783-785-727-728-739-741-742-763-769-770-776-780-706-707-708-717</t>
  </si>
  <si>
    <t>Χ211219</t>
  </si>
  <si>
    <t>720-721-757-717-756-751-711</t>
  </si>
  <si>
    <t>ΓΛΑΡΕΛΗ</t>
  </si>
  <si>
    <t>ΑΙ245245</t>
  </si>
  <si>
    <t>720-721-717-746-747-750-751-753-756-757-773</t>
  </si>
  <si>
    <t>ΚΡΑΜΠΗΣ</t>
  </si>
  <si>
    <t>Χ276968</t>
  </si>
  <si>
    <t>757-747-750-746-753-751-713-711-756-773-714-721-720-734-733-762-704-724-725-776-708-769-749-752-748-745-754-744-755-709-712-718-774-772-775-710-738-736-735-737-719-702-705-726-785-731-732-766-786-777</t>
  </si>
  <si>
    <t>ΑΡΒΑΝΙΤΗ</t>
  </si>
  <si>
    <t>ΑΕ315404</t>
  </si>
  <si>
    <t>781-733-734-844-704-706-707-708-711-713-714-717-720-721-724-725-727-728-739-746-750-751-753-756-757-762-763-769-770-771-773-776-780-783-784</t>
  </si>
  <si>
    <t>ΝΑΚΑ</t>
  </si>
  <si>
    <t>Χ046229</t>
  </si>
  <si>
    <t>721-720-756-753-757-750-742-713-717-746-773-702-710-712-716-718-719-744-745-748-749-752-754-755-772-774-775</t>
  </si>
  <si>
    <t>ΚΑΚΚΟΥ</t>
  </si>
  <si>
    <t>ΑΒ390191</t>
  </si>
  <si>
    <t>702-703-704-705-706-707-708-709-710-711-712-713-714-844-716-717-718-719-720-721-724-725-726-730-731-732-733-734-735-736-737-738-740-744-745-746-747-748-749-750-751-752-753-754-755-756-757-760-761-762-764-765-766-768-772-773-774-775-777-785-786</t>
  </si>
  <si>
    <t>ΝΤΙΚΟΥΔΗ</t>
  </si>
  <si>
    <t>ΧΡΥΣΟΥΛΑ-ΜΑΡΙΑ</t>
  </si>
  <si>
    <t>Χ407455</t>
  </si>
  <si>
    <t>ΠΑΠΑΛΥΡΑ</t>
  </si>
  <si>
    <t>ΑΜ991192</t>
  </si>
  <si>
    <t>726-707-717-754-749-714-753-755-748-744-747-746-745-712-716-711-713-710-752-751-750-718-720-721</t>
  </si>
  <si>
    <t>Δ (710)</t>
  </si>
  <si>
    <t>ΡΑΓΚΑΒΑ</t>
  </si>
  <si>
    <t>ΑΕ244520</t>
  </si>
  <si>
    <t>705-704-844-762-702-709-710-711-712-713-714-716-717-718-719-720-721-744-745-746-747-748-749-750-751-752-753-754-755-756-757-772-773-774-775-703-783-784-707-706-708-727-728-730-729-759-758-760-761-764-765-733-734-735-736-737-738-724-725-726-776-785-740-715-781-778-722-723-741-742-763-739-767-768-770-769-771-779-780-782-787-743-786-731-732-766-777</t>
  </si>
  <si>
    <t>ΑΚΡΙΒΟΥ</t>
  </si>
  <si>
    <t>ΑΖ555831</t>
  </si>
  <si>
    <t>718-753-756-720-721-747-709-710-711-712-702-713-717-716-714-719-744-745-746-751</t>
  </si>
  <si>
    <t>ΧΡΙΣΤΟΔΟΥΛΑΚΗ</t>
  </si>
  <si>
    <t>ΑΕ438472</t>
  </si>
  <si>
    <t>711-712-773-713-719-714-774-772-754-702-751-716-718-750-752-753-745-746-747-749-748-709-757-744-720-717-775-780</t>
  </si>
  <si>
    <t>ΤΣΟΓΚΑ</t>
  </si>
  <si>
    <t>ΑΝΕΣΤΗΣ</t>
  </si>
  <si>
    <t>ΑΕ161988</t>
  </si>
  <si>
    <t>733-734-735-736-737-738-730-740-761-760-768-711-713-714-717-720-721</t>
  </si>
  <si>
    <t>ΣΑΡΙΚΑΚΗ</t>
  </si>
  <si>
    <t>ΑΖ474856</t>
  </si>
  <si>
    <t>786-702-774-775-719-746-747-718-745-753-744-750-773-757-752-755-756-754-748-749-713-714-711-720-721-716-717-751-710-709-777-731-732-734-735-736-737-738-739-740-741-742-743-726-724-704-705-706-703-844-707-708-715-722-723-725-727-728-729-730-758-759-760</t>
  </si>
  <si>
    <t>ΑΖ509857</t>
  </si>
  <si>
    <t>746-747-756-750-751-757-720-721-711-713-714-717-753-773-762-783-784-724-725-727-728-734-733-776-771-706-707-708-704-844-770-729-781-739-769-780-763-741-742</t>
  </si>
  <si>
    <t>ΚΟΥΤΣΟΘΟΔΩΡΟΥ</t>
  </si>
  <si>
    <t>Χ271840</t>
  </si>
  <si>
    <t>704-711-713-727-720-750-746-753-757</t>
  </si>
  <si>
    <t>ΤΖΗΚΑΣ</t>
  </si>
  <si>
    <t>ΑΙ280126</t>
  </si>
  <si>
    <t>707-708-711-713-714-717-720-721-724-725-728-734-747-750-757-762</t>
  </si>
  <si>
    <t>ΚΙΡΚΙΛΗ</t>
  </si>
  <si>
    <t>ΑΚ073511</t>
  </si>
  <si>
    <t>757-773-721-720-746-747-750-753-756-714-713-751-712-711-762</t>
  </si>
  <si>
    <t>ΛΑΖΑΝΑ</t>
  </si>
  <si>
    <t>ΑΟ173344</t>
  </si>
  <si>
    <t>704-705-710-721-718-755-756-712-713-714-717-720-748-749-752-753-754-757</t>
  </si>
  <si>
    <t>ΠΟΛΙΤΗ</t>
  </si>
  <si>
    <t>ΑΕ297633</t>
  </si>
  <si>
    <t>749-754-752-744-745-757-755-756-751-748-750-753-747-746-718-719-714-716-713-712-711-709-710-702-717-773-772-774-720-721-775</t>
  </si>
  <si>
    <t>ΚΑΛΑΝΤΖΗΣ</t>
  </si>
  <si>
    <t>ΑΗ287957</t>
  </si>
  <si>
    <t>757-747-750-711-713-720-721-734-776-724-707-708-741-770-780-762-771</t>
  </si>
  <si>
    <t>ΚΟΣΩΝΗ</t>
  </si>
  <si>
    <t>ΜΑΡΙΑ-ΙΩΑΝΝΑ</t>
  </si>
  <si>
    <t>Χ296235</t>
  </si>
  <si>
    <t>704-705-711-713-844-714-712-710-709-702-720-721-716-717-718-719-744-745-746-747-748-749-750-751-752-753-754-755-756-757-773-772-774-775-733-734-735-736-737-738-762-724-725-726-708-707-706-703-715-727-730-731-732-740-760-761-764-765-766-768-771-776-777-785-786-722-723-781-780-729-739-741-742-763-743-769-770-758-759-767-778-779-782-783-784-787</t>
  </si>
  <si>
    <t>ΑΡΙΔΑ</t>
  </si>
  <si>
    <t>Χ204515</t>
  </si>
  <si>
    <t>747-750-748-746-744-745-751-755-757-756-753-754-752-773-772-774-720-718-717-714-713-712-709</t>
  </si>
  <si>
    <t>ΦΩΤΗ</t>
  </si>
  <si>
    <t>Σ380339</t>
  </si>
  <si>
    <t>705-704-844-762-716-717-718-719-720-721-744-745-746-747-748-749-750-751-752-753-754-755-756-757-772-774-773-775-702-709-711-712-713-714</t>
  </si>
  <si>
    <t>ΣΜΟΙΛΗ</t>
  </si>
  <si>
    <t>ΕΣΘΗΡΑ</t>
  </si>
  <si>
    <t>ΑΗ057053</t>
  </si>
  <si>
    <t>711-713-720-721-746-747-756</t>
  </si>
  <si>
    <t>ΠΑΤΕΡΑΚΗΣ</t>
  </si>
  <si>
    <t>Σ558708</t>
  </si>
  <si>
    <t>750-751-757-773-713-717-721-720-711-753</t>
  </si>
  <si>
    <t>ΜΠΛΑΝΑ</t>
  </si>
  <si>
    <t>ΜΑΡΙΑ- ΚΑΛΛΙΟΠΗ</t>
  </si>
  <si>
    <t>ΑΙ633574</t>
  </si>
  <si>
    <t>756-753-747-711-713-750-746-714-717-773-751-720-721-757-749-755-774-744-748-752-718-754-745-772-719-709-716-712-702-710</t>
  </si>
  <si>
    <t>ΓΚΟΓΚΟΡΩΣΗΣ</t>
  </si>
  <si>
    <t>ΑΒ173227</t>
  </si>
  <si>
    <t>780-775-720-721-710-755-756-717-757-709-711-713-714-718-719-744-745-746-747-748-749-750-751-752-753-754-774</t>
  </si>
  <si>
    <t>ΚΛΩΣΤΕΡΙΔΗ</t>
  </si>
  <si>
    <t>ΑΑ998006</t>
  </si>
  <si>
    <t>787-739-749-782-702-767-747-766-746-777-744-775-736-738-756-774-742-752-770-783-734-718-724-759-714-719-727-762-715-780-722-709-730-706-769-740-723-781-751-772-710-703-717-729-733-757-768-776-785-707-712-728-737-732-758-773-713-754-705-721-761-778-735-725-755-763-743-708-760-771-765-748-786-711-750-779-720-745-764-784-741-716-753-731-726-704</t>
  </si>
  <si>
    <t>ΚΟΚΑΛΙΤΣΑ</t>
  </si>
  <si>
    <t>ΑΒ000433</t>
  </si>
  <si>
    <t>716-718-719-720-753-773-755-756-746-745-747-748-710-744-750-754-774-775-717</t>
  </si>
  <si>
    <t>ΜΑΡΚΟΠΟΥΛΟΥ</t>
  </si>
  <si>
    <t>ΑΚ348763</t>
  </si>
  <si>
    <t>705-704-764-765-703-702-844-709-710-711-712-713-714-716-717-718-719-720-721-733-734-735-736-737-738-744-745-746-747-748-749-750-751-752-753-754-755-756-757-762-772-773-774-775-706-707-708-724-725-726-730-731-732-740-760-761-766-768-777</t>
  </si>
  <si>
    <t>ΠΕΛΑΡΓΟΥ</t>
  </si>
  <si>
    <t>Φ086584</t>
  </si>
  <si>
    <t>718-719-773-755-756-747-746-744-754-753-749-745-748-757-750-712-752-721-711-774-716-772-702-775-751-714-713-720</t>
  </si>
  <si>
    <t>ΝΤΑΛΙΠΑΙ</t>
  </si>
  <si>
    <t>ΤΖΟΥΛΙΑ</t>
  </si>
  <si>
    <t>ΑΛΙ</t>
  </si>
  <si>
    <t>ΑΝ314044</t>
  </si>
  <si>
    <t>753-757-721-722-754-755-734-735-768-774-747-772-786-733-777</t>
  </si>
  <si>
    <t>ΚΙΡΜΙΚΙΡΟΓΛΟΥ</t>
  </si>
  <si>
    <t>ΑΜ225923</t>
  </si>
  <si>
    <t>720-721-717-713-714-751-711-746-747-750-773-757-753-756-709-749-748-752-745-754-755-744-774-772-719-716-702-710-762-724-725-726-706-707-708</t>
  </si>
  <si>
    <t>ΤΡΙΑΝΤΑΦΥΛΛΟΣ</t>
  </si>
  <si>
    <t>ΑΟ333004</t>
  </si>
  <si>
    <t>702-703-844-704-705-706-707-708-709-710-711-712-713-714-715-716-717-718-719-720-721-722-723-724-725-726-727-728-729-730-733-734-735-736-737-738-740-744-745-746-747-748-749-750-751-752-753-754-755-756-757-758-759-760-761-762-764-765-768-771-772-773-774-775-776-778-783-784-785</t>
  </si>
  <si>
    <t>ΑΖ636090</t>
  </si>
  <si>
    <t>749-718-755-774-744-748-754-752-745-775-719-773-716-709-710-712-753-756-772-757-751-750-746-747-721-720-714-713-711-702-717</t>
  </si>
  <si>
    <t>ΘΕΟΔΩΡΑΤΟΥ</t>
  </si>
  <si>
    <t>Χ046564</t>
  </si>
  <si>
    <t>749-709-775-754-748-712-711-718-745-747-746-752-753-757-772-774-721-720-716-750-751-773-719-744-755-756-713-714-717-710-702</t>
  </si>
  <si>
    <t>ΑΒ549719</t>
  </si>
  <si>
    <t>738-737-736-735-734-733-705-704-744-749-748-747-750-752-751-753-754-755-756-757-719-718-717-716-714-712-713-710-711-709-703-702-745-746-768-772-773-774-775-785-762-761-760-730-720-721-723-731-732-766-777-778-786</t>
  </si>
  <si>
    <t>Νταλάση</t>
  </si>
  <si>
    <t>Ελένη Θωμαί</t>
  </si>
  <si>
    <t>Ιωάννης</t>
  </si>
  <si>
    <t>ΑΖ769442</t>
  </si>
  <si>
    <t>755-749-775-744-745-748-718-737-735-736-738-731-732-705-786-743-723-766-785-754-752-774-787-710-702-703-719-726-772-729-730-733-739-740-753-756-758-759-760-761-777-778-779-782-707-709-711-713-714-716-720-721-722-724-725-727-728-734-741-742-747-750-751-757-762-763-770-771-776-780-783-784</t>
  </si>
  <si>
    <t>ΣΕΛΛΑ</t>
  </si>
  <si>
    <t>ΠΡΑΝΒΕΡΑ</t>
  </si>
  <si>
    <t>ΑΝ327055</t>
  </si>
  <si>
    <t>768-733-735-736-737-738-734-702-707-708-709-710-711-712-713-714-716-717-718-719-720-721-727-728</t>
  </si>
  <si>
    <t>ΣΤΕΦΑΝΗΣ</t>
  </si>
  <si>
    <t>Φ341110</t>
  </si>
  <si>
    <t>702-709-711-713-714-754-749-748-744-751-752-745-746-747-750-710-753-755-756-774-773-772-775-757-720-721-717-718-719</t>
  </si>
  <si>
    <t>Χ411982</t>
  </si>
  <si>
    <t>757-750-751-756-720-714-713-711-773-746-747-721-717</t>
  </si>
  <si>
    <t>ΣΤΑΥΡΟΥ</t>
  </si>
  <si>
    <t>ΑΑ303668</t>
  </si>
  <si>
    <t>753-746-747-756-757-773-717-714-751-750-713-711-720-721</t>
  </si>
  <si>
    <t>ΠΑΥΛΙΔΟΥ</t>
  </si>
  <si>
    <t>ΑΙ893531</t>
  </si>
  <si>
    <t>734-733-756-757-753-751-746-747-750-711-713-714-717-720-721-724-725-773-708-762-706-707-704-844</t>
  </si>
  <si>
    <t>ΕΜΙΝΙ</t>
  </si>
  <si>
    <t>ΕΝΚΕΛΙΝΑ</t>
  </si>
  <si>
    <t>ΕΚΕΡΕΜ</t>
  </si>
  <si>
    <t>ΑΝ326135</t>
  </si>
  <si>
    <t>734-735-738-733-737-736-730-768-785-760-761-776-704-705-758-708-707-706-727-728-783-784-740-715-771-778-702-753-757-747-746-744-750-748-755-756-745-752-754-749-709-712-711-713-774-772-773-718-720-721-751-717-719-714-710-716-781-726-775-723-844-762-703-765-759-729-731-732-786-777-766-782-769-779-763-725-724-787-739-780-741-742-743-767-722-764-770</t>
  </si>
  <si>
    <t>Μαραγγούλη</t>
  </si>
  <si>
    <t>Αγγελική</t>
  </si>
  <si>
    <t>ΑΚ410075</t>
  </si>
  <si>
    <t>728-844-706-724-725-708-707-784-783-762-770-763-739-780-741-769-742-781-776-727-704-771-734-756-750-746-747-751-713-717-757-711-753-773-720-721-714-733</t>
  </si>
  <si>
    <t>ΔΙΑΜΑΝΤΗ</t>
  </si>
  <si>
    <t>ΑΚ019249</t>
  </si>
  <si>
    <t>717-718-753-748-757-747-746-744-750-752-749-734-745-716-755-756-713-709-710-711-712-772-773-774-719-751-714-720-721</t>
  </si>
  <si>
    <t>ΣΠΥΡΑΤΟΣ</t>
  </si>
  <si>
    <t>ΑΜ667802</t>
  </si>
  <si>
    <t>735-734-736-733-737-738-727-728-768-781-763-729-780-775-751-717-720-721-713-711-714-773-750-747-746-753-756-757-724-725-726-702-709-710-712-716-718-719-744-745-748-749-752-755-754-772-774-704-705-762-703-844-783-784-706-707-708-764-765-776-730-715-740-771-778-761-760-722-723-782-766-731-732-777-787-739-767-759-758-779-770-769-741-743-742-785</t>
  </si>
  <si>
    <t>ΚΛΩΝΑΡΗ</t>
  </si>
  <si>
    <t>ΕΛΕΝΗ-ΑΔΑΜΑΝΤΙΑ</t>
  </si>
  <si>
    <t>ΑΝ553159</t>
  </si>
  <si>
    <t>753-747-718-756-755-745-720-754-748-749-712</t>
  </si>
  <si>
    <t>Χ294364</t>
  </si>
  <si>
    <t>705-748-745-749-752-744-754-756-753-709-718-719-772-710-747-713-755-750-757-751-717-714-720-773-721-775-774-702-711-716</t>
  </si>
  <si>
    <t>ΚΑΣΚΑΝΗ</t>
  </si>
  <si>
    <t>ΑΚ596746</t>
  </si>
  <si>
    <t>702-709-710-711-712-713-714-718-719-744-745-746-748-749-747-752-753-754-755-757-756-716-717-751-750-720-721</t>
  </si>
  <si>
    <t>ΠΑΠΑΓΕΩΡΓΗ</t>
  </si>
  <si>
    <t>ΑΝ760135</t>
  </si>
  <si>
    <t>723-722-778-711-733-734-753-756-750-747-746-751-757-720-721-713-717-714-773-724-725-707-708-706-844-704-762-765-764-740-738-736-735-737-785-749-755-748-744-745-754-774-775-718-709-710-712-719-716-702-705-761-760-766-768-772-777-786-726-703-731-732-730-771-715-770-776-763-758-759-728-727-739-741-743-742-787-784-783-782-781-780-779-729-769-767</t>
  </si>
  <si>
    <t>ΣΤΑΥΡΟΠΟΥΛΟΣ</t>
  </si>
  <si>
    <t>ΑΟ163437</t>
  </si>
  <si>
    <t>718-719-773-774-716-746-747-750-751-748-753-710-752-713-754-755-756-749-745-744-721-720-702-717-714-709</t>
  </si>
  <si>
    <t>Μπολανου</t>
  </si>
  <si>
    <t>Ελευθερια</t>
  </si>
  <si>
    <t>Σπυρος</t>
  </si>
  <si>
    <t>ΑΜ599626</t>
  </si>
  <si>
    <t>749-744-748-757-750-720-713</t>
  </si>
  <si>
    <t>ΦΙΛΙΠΠΟΠΟΥΛΟΥ</t>
  </si>
  <si>
    <t>ΑΑ326916</t>
  </si>
  <si>
    <t>705-704-844-702-709-710-711-712-713-714-716-717-718-719-720-721-744-745-746-747-748-749-750-751-752-753-754-755-756-757-772-773-774-775-733-734-735-736-737-738-785-703-706-707-708-715-722-723-724-725-726-727-728-729-730-731-732-739-740-741-742-743-758-759-760-761-762-763-764-765-766-767-768-769-770-771-776-777-778-779-780-781-782-783-784-786-787</t>
  </si>
  <si>
    <t>ΑΘΑΝΑΣΙΟΥ</t>
  </si>
  <si>
    <t>Φ244008</t>
  </si>
  <si>
    <t>844-704-705-729-703-702-709-710-711-712-713-714-716-717-718-719-720-721-724-733-734-735-736-737-738-744-745-746-747-748-749-750-751-752-753-754-755-756-757-762-772-773-774-775-706-707-708-715-722-723-725-726-727-728-730-731-732-739-740-741-742-743-758-759-760-761-763-764-765-766-767-768-769-770-771-776-777-778-779-780-781-782-783-784-785-786-787</t>
  </si>
  <si>
    <t>ΠΟΛΥΖΟΥ</t>
  </si>
  <si>
    <t>ΑΖ317014</t>
  </si>
  <si>
    <t>767-763-760-761-787-782-780-785-777-770-776-768-764-765-766-769-762-844-706-707-704-705-703-708-711-713-717-714-722-723-724-721-720-725-727-730-733-734-741-742-740-736-739-746-747-750-748-749-751-753-756-757-781-779-778-783-784-786-702-709-710-712-715-716-718-719-726-728-729-731-732-735-737-738-743-744-745-752-754-755-758-759-771-772-773-774-775</t>
  </si>
  <si>
    <t>ΔΑΛΔΟΓΙΑΝΝΗΣ</t>
  </si>
  <si>
    <t>ΒΑΛΣΑΜΗΣ</t>
  </si>
  <si>
    <t>ΑΗ339429</t>
  </si>
  <si>
    <t>785-734-733-738-776-736-737-771-780-757-756-766-762-770-735-773-747-750-727-724-711-713-717-704-707-706-708-714-725-784-722-723-783-728-746-751-753-763-769-781-739-741-742-732-731-740-748-749-744-745-743-705-709-710-712-715-716-718-720-721-719-726-729-730-752-774-775-772-754-755-759-760-761-758-764-765-768-767-777-778-786-787-779-702-703</t>
  </si>
  <si>
    <t>ΜΠΕΛΕΣΗ</t>
  </si>
  <si>
    <t>ΑΙ206833</t>
  </si>
  <si>
    <t>746-747-753-751-750-756-757-714-717-720-721-702-713-773-774</t>
  </si>
  <si>
    <t>ΠΡΑΠΠΑ</t>
  </si>
  <si>
    <t>ΑΗ271178</t>
  </si>
  <si>
    <t>734-707-747-708-750-713-720-711-757</t>
  </si>
  <si>
    <t>ΜΠΑΧΑ</t>
  </si>
  <si>
    <t>ΑΖ437277</t>
  </si>
  <si>
    <t>702-746-747-757-753-756-751-750-772-773-713-752-709-748-774-745-749-718-754-755-719-711-712-716-720-721-717-787</t>
  </si>
  <si>
    <t>ΤΣΕΚΟΥΡΑ</t>
  </si>
  <si>
    <t>Φ201145</t>
  </si>
  <si>
    <t>712-711-710-757-749-754-713-752-745-756-755-750-744-746-748-747-753-709-714-717-773-719-720-721-775-751-718-774-772-716-702-704-705-762-844-703-726-724-725-765-764-707-708-706-729-759-768-730-760-733-736-738-737-734-735-785-786-777-731-732-766-784-783-727-728-776-771-740-723-715-778-769-782-781-770-758-779-763-741-742-743-739-780-787-722-767</t>
  </si>
  <si>
    <t>ΠΑΛΑΙΟΛΟΓΟΥ</t>
  </si>
  <si>
    <t>ΑΕ635642</t>
  </si>
  <si>
    <t>772-774-718-753-719-752-744-745-749-748-754-702-773-747-746-757-756-710-709-711-755-712-714-750-717-751-716-775-713-720-721</t>
  </si>
  <si>
    <t>ΛΟΥΚΑΝΙΚΑ</t>
  </si>
  <si>
    <t>ΑΗ262277</t>
  </si>
  <si>
    <t>768-735-736-738-733-734-737-731-732-766-786-705-715-716-722-723-726-729-730-740-743-758-759-760-761-764-765-767-778-779-785-787-702-703-709-712-718-719-744-745-748-749-752-754-755-772-844-704-706-707-708-710-711-713-714-717-720-721-724-725-727-728-739-741-742-746-747-750-751-753-756-757-762-763-769-770-771-773-774-775-776-777-780-781-782-783-784</t>
  </si>
  <si>
    <t>ΚΟΚΚΟΒΟΥ</t>
  </si>
  <si>
    <t>ΑΖ493984</t>
  </si>
  <si>
    <t>754-714-718-709-753-702-710-756-717-744-745-746-747-750-755-711-712-713-748-749-751-752-757-719-720-721-716-772-773-774-775</t>
  </si>
  <si>
    <t>ΤΟΜΠΑΤΣΙΔΟΥ</t>
  </si>
  <si>
    <t>ΑΚ614856</t>
  </si>
  <si>
    <t>718-720-721-748-750-749-745-744-751-752-754-755-756-753-757-773-774-772-775-747-746-714-717-719-716-710-709-711-712-713-702</t>
  </si>
  <si>
    <t>ΚΑΛΛΙΜΑΝΗΣ</t>
  </si>
  <si>
    <t>ΑΙ782888</t>
  </si>
  <si>
    <t>702-709-710-711-712-713-714-716-717-718-719-720-721-744-745-746-747-748-749-750-751-752-753-754-755-756-757-772-773-774-775-733-734-735-736-737-738-739-844-704-705-703-765-768-758-759-786-777-779-731-762</t>
  </si>
  <si>
    <t>ΨΑΝΗ</t>
  </si>
  <si>
    <t>Χ162843</t>
  </si>
  <si>
    <t>718-719-773-714-709-711-713-717-721-720-746-747-750-753-751-775-774-712-744-745-748-749-752-754-755-756-757-772</t>
  </si>
  <si>
    <t>ΔΑΜΙΑΝΟΠΟΥΛΟΥ</t>
  </si>
  <si>
    <t>ΗΛΕΚΤΡΑ</t>
  </si>
  <si>
    <t>Σ435764</t>
  </si>
  <si>
    <t>757-717-751-713-750-711-714-720-721-753-756-747-746</t>
  </si>
  <si>
    <t>ΤΣΑΝΤΑΛΗ</t>
  </si>
  <si>
    <t>Φ155325</t>
  </si>
  <si>
    <t>734-735-736-738-737-733-730-760-761-776-785-715-740-771-778-723-722-768-783-784-726-724-725-727-728-706-707-708-718-716-717-720-721-719-772-774-775-709-710-711-712-713-714-702-749-755-752-748-744-754-745-753-756-757-750-746-747-751-773-762-731-732-766-777-786-779-763-780-781-844-705-704-703-729-767-787-782-764-765-770-769-759-758-743-741-742-739</t>
  </si>
  <si>
    <t>ΖΑΧΑΡΟΠΟΥΛΟΣ</t>
  </si>
  <si>
    <t>ΖΑΧΑΡΙΑΣ</t>
  </si>
  <si>
    <t>ΑΗ091345</t>
  </si>
  <si>
    <t>721-720-747-746-750-717-714-757-711-713-751-756-753</t>
  </si>
  <si>
    <t>ΜΑΡΓΑΡΙΤΟΠΟΥΛΟΥ</t>
  </si>
  <si>
    <t>ΕΥΦΡΟΣΥΝΗ</t>
  </si>
  <si>
    <t>Χ906049</t>
  </si>
  <si>
    <t>723-722-768-737-736-734-735-733-785-738-779-781-778-771-740-715-761-783-707-708-744-745-746-747-748-749-750-751-752-753-754-756-757-755-784-760-702-709-710-711-712-713-714-717-718-719-720-721-716-705-704-844-772-773-774-775-727-728-730-762-706-703-724-725-726-739-729-764-765-767-769-770-787-780-776-741-742-743-758-759</t>
  </si>
  <si>
    <t>ΠΑΛΗΓΙΑΝΝΗ</t>
  </si>
  <si>
    <t>ΑΒ842370</t>
  </si>
  <si>
    <t>768-730-733-734-735-736-737-738-744-745-746-747-748-749-750-751-752-753-754-755-756-757-709-710-711-712-713-714-716-717-718-719-720-721-772-774-775-724-725-777-766-760-761</t>
  </si>
  <si>
    <t>ΔΑΜΑΛΑ</t>
  </si>
  <si>
    <t>ΧΡΥΣΟΣΘΕΝΗΣ</t>
  </si>
  <si>
    <t>ΑΝ437702</t>
  </si>
  <si>
    <t>787-844-704-706-707-708-711-713-714-717-720-721-725-724-733-734-746-747-750-753-756-757-762-773-786-785-738-766-731-732-749-777-774-775-772-768-765-761-760-755-752-754-748-744-745-737-736-735-730-726-718-719-716-709-712-710-705-702-703</t>
  </si>
  <si>
    <t>ΛΙΑΜΠΑ</t>
  </si>
  <si>
    <t>ΑΖ761171</t>
  </si>
  <si>
    <t>733-708-707-776-771-762-784-734-746-750-751-753-757-747-711-713-714-717-727-756-704-844-720-721</t>
  </si>
  <si>
    <t>ΜΠΙΚΕΡΗ</t>
  </si>
  <si>
    <t>ΚΡΙΤΩΝ</t>
  </si>
  <si>
    <t>ΑΕ338698</t>
  </si>
  <si>
    <t>768-776-733-734-724-707-708-762-770-771-780-756-753-739-711-713-720-721-741-747-750-704-844-706-714-717-727-728-742-746-751-757-763-769-773-781-783-784</t>
  </si>
  <si>
    <t>Ρολη</t>
  </si>
  <si>
    <t>Μαρία</t>
  </si>
  <si>
    <t>ΑΗ808427</t>
  </si>
  <si>
    <t>776-730-733-734-735-738-737-736-740-785-702-703-844-704-705-706-707-708-709-710-711-712-713-714-715-716-717-718-719-720-721-723-724-725-726-727-728-729-731-732-739-741-742-743-744-745-746-747-748-749-750-751-752-753-754-755-756-757-758-759-760-761-762-763-764-765-766-767-768-769-770-771-772-773-774-775-777-778-779-780-781-782-783-784-786-787</t>
  </si>
  <si>
    <t>ΗΛΙΟΠΟΥΛΟΥ</t>
  </si>
  <si>
    <t>ΜΑΡΘΑ</t>
  </si>
  <si>
    <t>ΑΝ542731</t>
  </si>
  <si>
    <t>716-717-718-773-774-719-720-721-744-745-746-747-748-749-750-751-752-753-754-755-756-757-711-712-713</t>
  </si>
  <si>
    <t>ΛΑΤΣΗ</t>
  </si>
  <si>
    <t>ΑΕ272769</t>
  </si>
  <si>
    <t>764-765-703-762-770-844-704-711-713-714-717-725-746-747-750-751-753-756-757-773-707-708-702-709-710-712-716-718-719-744-745-748-749-752-754-755-772-774-720-721-705-727-733-734-736-737-738</t>
  </si>
  <si>
    <t>ΑΝΑΓΝΩΣΤΟΥ</t>
  </si>
  <si>
    <t>ΔΑΦΝΗ</t>
  </si>
  <si>
    <t>ΑΡΓΥΡΙΟΣ</t>
  </si>
  <si>
    <t>ΑΖ486575</t>
  </si>
  <si>
    <t>709-713-749-748-747-746-754-757-753-752-751-744-745-750-755-756-772-773-774-775-714-711-712-717-718-719-716-710-720-721</t>
  </si>
  <si>
    <t>Παρηγορίδου</t>
  </si>
  <si>
    <t>Χαράλαμπος</t>
  </si>
  <si>
    <t>AP1680918</t>
  </si>
  <si>
    <t>738-736-735-737-730-733-734-785-760-761-740-749-755-752-748-744-745-754-774-775-718-705-709-719-768-772-702-710-712-716-726-753-756-757-750-747-713-711-724-704-714-723-746-751-773-731-732-786-762-720-721-717</t>
  </si>
  <si>
    <t>ΓΚΑΡΑΓΚΟΥΝΗ</t>
  </si>
  <si>
    <t>Σ688260</t>
  </si>
  <si>
    <t>749-755-718-744-745-748-752-753-756-774-775-772-719-720-721-717-716-750-751</t>
  </si>
  <si>
    <t>ΣΑΜΨΩΝΙΔΗΣ</t>
  </si>
  <si>
    <t>ΑΖ031810</t>
  </si>
  <si>
    <t>721-720</t>
  </si>
  <si>
    <t>ΑΛΕΤΡΑ</t>
  </si>
  <si>
    <t>Σ078582</t>
  </si>
  <si>
    <t>713-709-714-711-712-710-718-716-719-720-721-744-745-746-747-748-749-750-751-752-753-754-755-756-757-773-774-775</t>
  </si>
  <si>
    <t>Δ (728)</t>
  </si>
  <si>
    <t>ΚΑΚΑΝΑΚΗ</t>
  </si>
  <si>
    <t>Χ627517</t>
  </si>
  <si>
    <t>727-728-707-708-706-756-757-753-751-750-747-746-773-721-720-717-714-713-711-704-844-724-725-733-734-762-702-709-710-712-718-719-744-745-748-736-749-755-768-772-774-775-703-705-715-716-722-723-726-729-730-731-732-735-737-738-739-740-741-742-743-752-754-758-759-760-761-763-764-765-766-767-769-770-771-776-777-778-779-780-781-782-783-784-785-786-787</t>
  </si>
  <si>
    <t>ΠΕΤΡΗ</t>
  </si>
  <si>
    <t>ΑΒ781214</t>
  </si>
  <si>
    <t>703-747-746-719-718-717-775-720-750-748-745-744-751-752-753-754-755-756-757-772</t>
  </si>
  <si>
    <t>ΚΑΣΙΜΗ</t>
  </si>
  <si>
    <t>ΑΕ114847</t>
  </si>
  <si>
    <t>766-731-732-786-738-736-735-737-733-734-730-740-785-775-774-777-749-748-752-755-754-768-772-747-750-751-753-756-744-745-746-726-725-724-719-718-716-720-721-717-705-702-703-709-710-712-761-760-764-765-711-713-762-844-704-706-707-708</t>
  </si>
  <si>
    <t>ΜΕΛΛΕ</t>
  </si>
  <si>
    <t>ΠΕΡΙΚΛΗΣ</t>
  </si>
  <si>
    <t>Σ603776</t>
  </si>
  <si>
    <t>757-753-746-747-750-713-773-711-717-720-721</t>
  </si>
  <si>
    <t>ΛΙΝΑ</t>
  </si>
  <si>
    <t>ΑΝ683229</t>
  </si>
  <si>
    <t>773-719-774-721-720-772-775-746-747-755-756-757-753-744-745-750-751-752-718-717-702-748-749-754-713-714-709-711-712-716</t>
  </si>
  <si>
    <t>Δ (715)</t>
  </si>
  <si>
    <t>ΜΟΥΤΑΦΤΣΗ</t>
  </si>
  <si>
    <t>ΑΖ387240</t>
  </si>
  <si>
    <t>715-740-771-778-723-722-735-734-733-738-737-736-785-730-760-761-746-747-718-753-754-755-756-750-749-748-745-744-743-751-752-773-774-775-757-717-716-714-719-720-721-731-732-702-772-844-704-705-706-707-708-709-710-711-712-713-724-726-725-762-703-765-764-766-786-777-768-776-727-728-758-787-783-784-767-769-729-759-779-780-782-781-741-742-763-770-739</t>
  </si>
  <si>
    <t>Συριοπούλου</t>
  </si>
  <si>
    <t>Ευαγγελία</t>
  </si>
  <si>
    <t>ΑΒ205503</t>
  </si>
  <si>
    <t>746-747-756-750-757-713-711-753-751-717-720-721-714-773</t>
  </si>
  <si>
    <t>ΚΑΝΟΝΙΔΗΣ</t>
  </si>
  <si>
    <t>ΑΚ983272</t>
  </si>
  <si>
    <t>735-737-738-736-760-761-730-705-731-732-723-786-777-768-740-766-715-726-765-785-718-719-772-774-775-778-709-712-745-744-748-749-752-754-755-758-779-787-767-729-733-704-771-703-724-725-762-776-707-708-711-713-714-717-720-721-746-747-750-751</t>
  </si>
  <si>
    <t>ΓΕΡΓΙΑΝΝΑΚΗ</t>
  </si>
  <si>
    <t>Σ480116</t>
  </si>
  <si>
    <t>702-703-704-705-706-707-708-709-710-711-712-713-714-715-716-717-718-719-720-721-722-723-724-725-726-727-728-729-730-731-732-733-734-735-736-737-738-739-740-741-742-743-744-745-746-747-748-749-750-751-752-753-754-755-756-757-758-759-760-761-762-763-764-765-766-767-768-769-770-771-772-773-774-775-776-777-778-779-780</t>
  </si>
  <si>
    <t>ΚΑΛΑΠΟΘΑΡΑΚΟΣ</t>
  </si>
  <si>
    <t>ΑΜ159771</t>
  </si>
  <si>
    <t>775-721-720-773-718-747-746-753-749-754-752-757</t>
  </si>
  <si>
    <t>ΒΕΤΣΑΣ</t>
  </si>
  <si>
    <t>ΑΙ531558</t>
  </si>
  <si>
    <t>753-718-748-749-750-745-746-747-744-754-713-755-756-709-717-719-774-702-710-712-711-714-720-721-716-751-757-773-775</t>
  </si>
  <si>
    <t>ΠΑΠΑΡΟΙΔΑΜΗ</t>
  </si>
  <si>
    <t>ΑΒ078827</t>
  </si>
  <si>
    <t>728-727-770-709-710-711-712-713-714-716-717-718-719-720-721-744-745-746-747-748-749-750-751-752-753-754-755-756-757-772-773-774-775-733-734-735-736-737-738-702-703-704-705-706-707-708-740-760-761-762-764-765-768-771-776-778-783-784-785-786-766-777-731-732-715-722-723-724-725-726-730-758-759-729-779-780-781-782-763-767-769-787-741-742-743-739</t>
  </si>
  <si>
    <t>ΑΕ719725</t>
  </si>
  <si>
    <t>705-704-729-759-758-703-755-775-762-844-718-756-710-748-749-745-774-746-747-721-720-754-702-709-711-712-713-744-716-714-719-752-753-772-738-737-736-735-734-733-731-766-732-777-786-785-787-750-751-757-773-739-776-706-707-708-724-725-726-727-728-730-740-741-742-743-763-760-761-764-765-768-769-770-771-778-779-780-781-783-784-722-723-715</t>
  </si>
  <si>
    <t>Χ987220</t>
  </si>
  <si>
    <t>761-760-776-730-768-733-734-735-736-737-738-785-771-740-715-702-709-710-711-713-714-717-718-719-720-721-744-745-746-747-748-749-750-751-752-753-754-755-756-757-772-773-774-775-703-704-705-706-707-708-724-725-726-727-728-762-764-765-778-783-784-722-723-731-732-786-781-782-779-787-777-780-769-770-766-767-758-759-763-741-742-743</t>
  </si>
  <si>
    <t>ΑΝΤΩΝΟΠΟΥΛΟΥ</t>
  </si>
  <si>
    <t>ΑΟ040859</t>
  </si>
  <si>
    <t>717-714-713-711-746-747-750-720-721-751-756-757-753</t>
  </si>
  <si>
    <t>Τ017299</t>
  </si>
  <si>
    <t>713-714-751-721-720-750-756-717-773-711-753-757-746-747</t>
  </si>
  <si>
    <t>ΑΜ756412</t>
  </si>
  <si>
    <t>ΚΩΝΣΤΑΝΤΙΝΙΑ</t>
  </si>
  <si>
    <t>Χ479589</t>
  </si>
  <si>
    <t>742-741-739-763-780-770-769-781-706-776-728-771-844-707-708-727-783-784-724-725-720-721-762-704-717-753-773-714-751-713-711-733-734-746-747-750-757-756</t>
  </si>
  <si>
    <t>ΚΑΖΑ</t>
  </si>
  <si>
    <t>Σ797373</t>
  </si>
  <si>
    <t>703-707-708-709-711-713-757-747-741-720-721-724-750-734-776</t>
  </si>
  <si>
    <t>ΑΕ829965</t>
  </si>
  <si>
    <t>734-711-713-714-720-721-746-747-750-751-753-756-757</t>
  </si>
  <si>
    <t>ΝΑΣΙΑΚΟΥ</t>
  </si>
  <si>
    <t>ΑΚ929467</t>
  </si>
  <si>
    <t>711-713-714-717-720-721-746-747-750-751-753-756-757-773-844-704-706-707-708-724-725-733-734-762-776-702-718-719-748-749-752-754-772-774-775-709-710-712-716-744-745-731-732-730-735-738-736-737-768-785-786-777-764-765-766-760-761-740</t>
  </si>
  <si>
    <t>ΚΑΤΣΙΓΙΑΝΝΗ</t>
  </si>
  <si>
    <t>AΟ108453</t>
  </si>
  <si>
    <t>844-704-705-703-762-764-765-702-709-710-711-712-713-714-716-717-718-720-721-744-745-746-747-748-749-750-751-752-753-754-755-756-757-773-719-772-774-775-785-724-725-726-729-758-706-783-784-707-708-768-727-728-730-776-760-761-733-734-735-736-737-738-740-715-771-722-778-723-731-732-777-786-766-782-739-741-742-743-767-769-779-780-781-770-787</t>
  </si>
  <si>
    <t>ΓΑΛΑΝΗ</t>
  </si>
  <si>
    <t>ΑΒ244860</t>
  </si>
  <si>
    <t>719-773-711-712-751-752-753-754-755-756-757-744-745-746-747-748-749-750-720-721-714-716-717-718-709-710-713</t>
  </si>
  <si>
    <t>ΚΟΥΤΣΙΟΥΜΠΑ</t>
  </si>
  <si>
    <t>ΑΝΤΩΝΙΑ ΕΛΙΣΑΒΕΤ</t>
  </si>
  <si>
    <t>ΑΗ782726</t>
  </si>
  <si>
    <t>780-774-772-724-725-726-727-728-768-783-707-706-844-704-705-709-710-711-712-713-714-715-716-717-718-719-720-721-722-723-729-738-730-731-732-733-734-735-736-737-739-740-741-742-744-743-745-746-747-748-749-750-751-752-753-754-755-756-757-758-759-760-761-762-763-764-765-766-767-770-769-771-773-775-776-777-778-779-781-782-784-785-786-787</t>
  </si>
  <si>
    <t>ΚΟΥΚΟΥΡΑΒΑ</t>
  </si>
  <si>
    <t>ΑΗ221323</t>
  </si>
  <si>
    <t>705-704-844-702-709-710-711-712-713-714-717-718-719-720-744-745-746-747-748-749-750-751-752-753-754-755-756-757-762-772-773-774-775-733-734-735-736-737-738-740-730-785-703-727-728-729</t>
  </si>
  <si>
    <t>ΦΡΑΓΚΟΥ</t>
  </si>
  <si>
    <t>Φ063882</t>
  </si>
  <si>
    <t>747-753-746-750-773-756-720-721-751-717-711-757-714-713</t>
  </si>
  <si>
    <t>ΓΛΟΓΟΒΙΤΗ</t>
  </si>
  <si>
    <t>Φ082794</t>
  </si>
  <si>
    <t>718-775-751-717-713-716-773-719-702-772-774-746-747-753-750-744-748-752-745-757-749-754-709-711-712-714-755-756-720-721-710</t>
  </si>
  <si>
    <t>ΚΩΣΤΑΚΗ</t>
  </si>
  <si>
    <t>ΑΖ222891</t>
  </si>
  <si>
    <t>705-762-703-707-702-708-709-710-711-712-713-716-718-719-720-721-724-726-744-745-747-748-749-750-752-753-754-755-756-757-772-774-775-776-729-730-731-732-733-734-735-736-737-738-740-758-759-760-761-764-765-766-767-768-777-778-779-780-782-786-785-704-844-725-727-728-717</t>
  </si>
  <si>
    <t>ΡΟΥΓΚΑΛΑ</t>
  </si>
  <si>
    <t>ΒΕΝΕΤΙΑ</t>
  </si>
  <si>
    <t>Χ803896</t>
  </si>
  <si>
    <t>733-734-776-724-725-708-706-711-713-714-717-720-721-746-747-750-751-753-756-757-773-762-844-704-727-728-702-703-705-707-709-710-712-715-716-718-719-722-723-726-729-730-731-732-735-736-737-738-739-740-741-742-743-744-745-748-749-752-754-755-758-759-760-761-763-764-765-766-767-768-769-770-771-772-774-775-777-778-779-780-781-782-783-784-785-786-787</t>
  </si>
  <si>
    <t>ΑΖ782215</t>
  </si>
  <si>
    <t>714-717-720-721-746-747-750-751-753-756-757-762-763-769-734-733-771-770-773-776-781-783-784-844-704-707-708-711-713-724-725-727-728</t>
  </si>
  <si>
    <t>ΧΥΤΑ</t>
  </si>
  <si>
    <t>ΑΟ350056</t>
  </si>
  <si>
    <t>714-709-718-726-749-748-744-745-752-754-768-775-774-779-772-767-760-761-759-758-756-753-716-729-712-710-702-707-708-711-713-720-721-724-739-747-750-757-770-782-769-727-728-725-717-706-743-746-751-763-773-781-783-784</t>
  </si>
  <si>
    <t>ΑΜ000114</t>
  </si>
  <si>
    <t>745-748-749-752-718-719-711-712-755-756-774-710-713-714-754-750-751-746-747-744-753-709-772-773-757-702-717-720-721-775</t>
  </si>
  <si>
    <t>ΚΟΥΛΟΥΡΗ</t>
  </si>
  <si>
    <t>ΑΚ693081</t>
  </si>
  <si>
    <t>750-751-720-721-757</t>
  </si>
  <si>
    <t>ΒΟΛΤΣΗ</t>
  </si>
  <si>
    <t>ΠΕΤΡΟΥΛΑ</t>
  </si>
  <si>
    <t>ΑΕ349866</t>
  </si>
  <si>
    <t>776-733-734-771-770-762-763-739-784-783-781-780-746-747-750-751-753-756-757-704-706-707-708-711-713-714-717-720-721-724-725-727-728</t>
  </si>
  <si>
    <t>ΑΚ157309</t>
  </si>
  <si>
    <t>773-719-718-721-720-746-747-751-753-757-744-748-775</t>
  </si>
  <si>
    <t>ΤΡΙΠΟΛΙΤΑΚΗΣ</t>
  </si>
  <si>
    <t>ΑΟ438250</t>
  </si>
  <si>
    <t>746-755-756-745-747-748-750-753-757-744-752-749-754-751-709-710-712-713-711-718-717-702-774-714-716-772-775-773-721-720-719-738-734-735-733-737-736-785-768-762-704-705-703-725-732-782-769-739-740-723-771</t>
  </si>
  <si>
    <t>ΑΖΝΑΒΟΥΡΙΔΗΣ ΑΡΓΥΡΟΠΟΥΛΟΣ</t>
  </si>
  <si>
    <t>ΑΝ150661</t>
  </si>
  <si>
    <t>720-721-717-773-711-713-746-747-750-751-757</t>
  </si>
  <si>
    <t>ΚΟΝΤΟΘΕΟΔΩΡΟΥ</t>
  </si>
  <si>
    <t>Φ059007</t>
  </si>
  <si>
    <t>717-713-714-711-709-721-751-757-747-716-718-748-749-750-753-710</t>
  </si>
  <si>
    <t>ΧΟΥΛΙΑΡΑ</t>
  </si>
  <si>
    <t>Χ876144</t>
  </si>
  <si>
    <t>753-756-750-747-746-704-844-706-707-708-711-713-714-717-720-721-724-725-733-734-751-757-762-769-773-783-784</t>
  </si>
  <si>
    <t>ΠΑΝΟΥ</t>
  </si>
  <si>
    <t>Χ898186</t>
  </si>
  <si>
    <t>716-717-718-719-709-710-711-712-713-714-720-721-744-745-746-747-749-748-750-752-751-753-755-754-756-757-762-773-774-775-844-704-705-706-707-708-722-723-724-725-726-727-728-729-730-731-732-733-734-735-736-737-738-739-740-741-742-743-758-759-760-761-763-764-765-766-767-768-769-770-771-776-777-778-779-780-781-782-783-784-785-786-787</t>
  </si>
  <si>
    <t>ΤΑΧΤΣΙΔΟΥ</t>
  </si>
  <si>
    <t>ΑΙ884336</t>
  </si>
  <si>
    <t>733-734-735-736-737-738-730-740-785-768-771-715-760-761-722-723-739-776-786-727-758-729-777-706-707-708-762-744-745-746-747-748-749-750-751-752-717-718-720-721-773-764-765-844-704-705-709-710-711-712-713-714-742-719-772-774-775-779-780-769-724-725-726-759-763-728-766</t>
  </si>
  <si>
    <t>ΤΣΑΓΑΛΑ</t>
  </si>
  <si>
    <t>Σ229213</t>
  </si>
  <si>
    <t>768-733-734-735-736-737-738-744-745-746-747-748-749-750-751-752-753-754-755-756-757-773-774-775-702-709-710-711-712-713-716-717-718-719-720-721-730-724-725-726</t>
  </si>
  <si>
    <t>ΚΑΤΕΛΟΥΖΟΥ</t>
  </si>
  <si>
    <t>ΑΚ349912</t>
  </si>
  <si>
    <t>704-750-746-747-756-751-753-757-714-711-713-762-724-725-773-783-784-707-708-734-720-721</t>
  </si>
  <si>
    <t>ΓΚΑΤΣΟΥ</t>
  </si>
  <si>
    <t>ΤΕΛΗΣ</t>
  </si>
  <si>
    <t>ΑΙ531618</t>
  </si>
  <si>
    <t>714-717-746-747-756-757-750-751-753-711-713-720-721-773-762-706-707-708-844-704-724-725-733-734</t>
  </si>
  <si>
    <t>ΓΟΥΤΟΥ</t>
  </si>
  <si>
    <t>ΑΝ320425</t>
  </si>
  <si>
    <t>844-702-703-704-705-706-707-708-709-710-711-712-713-714-716-717-718-719-720-721-724-725-726-730-731-732-733-734-735-736-737-738-740-744-745-746-747-748-749-750-773</t>
  </si>
  <si>
    <t>ΜΠΑΙΜΑΚΗ</t>
  </si>
  <si>
    <t>ΑΜ699236</t>
  </si>
  <si>
    <t>734-711-713-720-721-747-750-757-762-776-738-737-736-735-733</t>
  </si>
  <si>
    <t>ΑΝ114635</t>
  </si>
  <si>
    <t>718-720-719-716-754-753-746-747-748-749-751-773-744-717</t>
  </si>
  <si>
    <t>ΧΛΕΤΣΟΥ</t>
  </si>
  <si>
    <t>ΔΙΟΝΥΣΙΑ ΚΟΡΙΝΑ</t>
  </si>
  <si>
    <t>ΑΑ019257</t>
  </si>
  <si>
    <t>753-720-721-757-746-747-751-713-756-773-717-750-714-711-774-749-754-748-752-772-716-745-718-719-709-712-744-755-710-775-702</t>
  </si>
  <si>
    <t>ΚΑΡΑΧΡΗΣΤΟΥ</t>
  </si>
  <si>
    <t>ΑΜ560735</t>
  </si>
  <si>
    <t>702-709-710-711-712-713-714-716-717-718-719-720-721-744-745-746-747-748-749-750-751-752-753-754-755-756-757-773-772-774-775-733-734-735-736-737-738-786-777-731-732-766-740-723-771-778-762-726-724-725-704-705-844-708-706-707-703-783-784-768-764-765-727-728-730-776-760-761-785-715-758-759-729-770-779-767-780-763-781-782-769-787-741-742-743-739-722</t>
  </si>
  <si>
    <t>ΜΕΡΤΖΕΜΕΚΗ</t>
  </si>
  <si>
    <t>ΖΩΓΡΑΦΕΝΙΑ</t>
  </si>
  <si>
    <t>ΑΖ318486</t>
  </si>
  <si>
    <t>734-733-738-735-736-737-730-785-740-760-761-702-709-768-710-711-712-713-714-744-745-746-747-748-749-750-751-752-753-754-755-756-757-716-717-718-719-720-721-706-707-708-724-725-726-727-728-773-774-775-786-777-731-732-739-704-705-844-729-782-769-780-787</t>
  </si>
  <si>
    <t>ΑΗ300989</t>
  </si>
  <si>
    <t>844-704-706-711-713-714-717-720-721-724-725-733-746-747-750-751-753-756-757-762-738-737-735-736-785</t>
  </si>
  <si>
    <t>ΖΑΜΠΟΥΡΑ</t>
  </si>
  <si>
    <t>ΧΑΙΔΩ</t>
  </si>
  <si>
    <t>ΑΚ842425</t>
  </si>
  <si>
    <t>774-775-772-747-748-749-750-757-745-746-755-744-713-752-753-751-719-712-711-720-721-718-717-716-710-709-714-762-844-704-705-707-708-784-769-782-729-763-779-780-731-732-733-735-734-736-737-738-781</t>
  </si>
  <si>
    <t>ΚΥΠΑΡΙΣΗ</t>
  </si>
  <si>
    <t>Χ477571</t>
  </si>
  <si>
    <t>733-734-725-724-706-707-708-746-747-750-714-717-711-713-751-753-756-757-773-721-720-704-844-762</t>
  </si>
  <si>
    <t>ΠΑΠΠΟΥ</t>
  </si>
  <si>
    <t xml:space="preserve">ΔΗΜΗΤΡΙΟΣ </t>
  </si>
  <si>
    <t>ΑΗ451969</t>
  </si>
  <si>
    <t>750-718-754-749-751-746-745-748-757-747-753-744-717-755-756-719-720-721</t>
  </si>
  <si>
    <t>ΠΑΝΑΓΙΩΤΑΚΟΠΟΥΛΟΥ</t>
  </si>
  <si>
    <t>ΑΙ024934</t>
  </si>
  <si>
    <t>711-713-720-721-750-751-747-746-757</t>
  </si>
  <si>
    <t>ΒΑΛΕΡΓΑΚΗΣ</t>
  </si>
  <si>
    <t>ΑΜ915477</t>
  </si>
  <si>
    <t>733-734-735-737-771-777-713-714-732-720-721-786-710-756-753-752-749-748-745-719-718-709-705-768-772-761-787-750-751-757-773-776-762-781-784-783-844</t>
  </si>
  <si>
    <t>ΤΑΡΤΑΡΗΣ</t>
  </si>
  <si>
    <t>ΕΡΜΑΛ</t>
  </si>
  <si>
    <t>ΒΛΑΝΤΙΜΙΡ</t>
  </si>
  <si>
    <t>ΑΝ073238</t>
  </si>
  <si>
    <t>711-713-714-746-747-750-751-753-756-757-720-717</t>
  </si>
  <si>
    <t>ΜΠΟΓΙΑ</t>
  </si>
  <si>
    <t>ΣΟΥΑΡΝΤΑ</t>
  </si>
  <si>
    <t>ΡΙΖΑ</t>
  </si>
  <si>
    <t>ΑΝ077922</t>
  </si>
  <si>
    <t>718-716-719-773-774-702-772-757-753-745-746-747-749-720-721</t>
  </si>
  <si>
    <t>ΓΚΑΡΗ</t>
  </si>
  <si>
    <t>ΑΒ007751</t>
  </si>
  <si>
    <t>718-710-746-747-756-711-709-755-757-749-713-717-721-720-748-745-750-754-752-712-714-716-751-744-702-719-773-774-775-772-762</t>
  </si>
  <si>
    <t>ΑΡΜΟΥΤΖΟΓΛΟΥ</t>
  </si>
  <si>
    <t>ΑΗ534792</t>
  </si>
  <si>
    <t>710-711-712-713-714-716-717-718-719-720-721</t>
  </si>
  <si>
    <t>ΜΑΡΚΟΣ</t>
  </si>
  <si>
    <t>ΤΑΞΙΑΡΧΗΣ</t>
  </si>
  <si>
    <t>ΑΖ583391</t>
  </si>
  <si>
    <t>713-757-714-711-750-720-709-748-747-746-744-718-721-749-753-754-773-716-745-752</t>
  </si>
  <si>
    <t>ΧΑΝΤΖΑΡΑΣ</t>
  </si>
  <si>
    <t>ΑΖ221303</t>
  </si>
  <si>
    <t>710-755-711-720-721-749-775-784-748-756-745-752-712-709-705-726-725-729-731-744-743-747-769-754</t>
  </si>
  <si>
    <t>ΕΞΑΔΑΚΤΥΛΟΥ</t>
  </si>
  <si>
    <t>ΜΑΓΔΑΛΙΝΗ</t>
  </si>
  <si>
    <t>ΑΙ217938</t>
  </si>
  <si>
    <t>844-704-705-702-709-710-711-712-713-714-716-717-718-719-720-721-736-737-738-744-745-746-747-748-749-750-751-752-753-754-755-756-757</t>
  </si>
  <si>
    <t>ΜΠΑΣΙΑΚΑ</t>
  </si>
  <si>
    <t>ΑΗ274036</t>
  </si>
  <si>
    <t>724-734-747-750-707-708-711-713-757-762-741-720-721-776</t>
  </si>
  <si>
    <t>ΑΖ217066</t>
  </si>
  <si>
    <t>ΑΧΤΣΕΛΙΔΟΥ</t>
  </si>
  <si>
    <t>ΧΑΡΙΛΑΟΣ</t>
  </si>
  <si>
    <t>ΑΜ879670</t>
  </si>
  <si>
    <t>702-703-704-705-706-707-708-709-710-844-711-712-713-714-715-716-717-718-719-720-721-722-723-724-725-726-727-728-729-730-731-732-733-734-735-736-737-738-739-740-741-742-743-744-745-746-747-748-749-750-751-752-753-754-755-756-757-758-759-760-761-762-763-764-765-766-767-768-769-770-771-772-773-774-775-776-777-778-779-780-781-782-783-784-785-786-787</t>
  </si>
  <si>
    <t>ΜΠΟΥΡΧΑΣ</t>
  </si>
  <si>
    <t>ΑΚ489535</t>
  </si>
  <si>
    <t>781-768-707-706-708-726-730-725-724-785-782-721-774</t>
  </si>
  <si>
    <t>ΑΙΚΑΤΕΡΙΝΗ ΚΑΛΛΙΡΡΟ</t>
  </si>
  <si>
    <t>Σ659320</t>
  </si>
  <si>
    <t>750-747-746-717-721</t>
  </si>
  <si>
    <t>ΓΥΦΤΟΥ</t>
  </si>
  <si>
    <t>ΑΒ401251</t>
  </si>
  <si>
    <t>757-746-747-750-753-756-773-711-713-714-751-720-721-744-749-755-748-718-772-774-710-745-719-716-712-709-702</t>
  </si>
  <si>
    <t>ΠΑΝΟΠΟΥΛΟΥ</t>
  </si>
  <si>
    <t>ΑΙ598861</t>
  </si>
  <si>
    <t>751-713-757-753-746-747-756-714-711-709-710-749-754-750-755-748-752-712-744-745-717-775-718-720-772-774</t>
  </si>
  <si>
    <t>ΖΩΗΣ</t>
  </si>
  <si>
    <t>ΑΡΙΣΤΟΦΑΝΗΣ</t>
  </si>
  <si>
    <t>Χ866316</t>
  </si>
  <si>
    <t>703-702-717-709-714-718-713-749-711-712-748-750-746-747-751-752-757-754-755-775-720-721-756</t>
  </si>
  <si>
    <t>ΜΠΟΥΜΠΑ</t>
  </si>
  <si>
    <t>ΑΗ238559</t>
  </si>
  <si>
    <t>758-759-739-760-785-768-740-743-729-735-736-737-738-734-787-782-770-741-781-769-763-780-727-784-777-733-844-704-706-707-708-711-713-714-717-720-721-724-725-728-742-746-747-750-756-757-762-773-776-783</t>
  </si>
  <si>
    <t>ΚΑΡΑΒΑΣΙΛΗ</t>
  </si>
  <si>
    <t>ΑΟ432107</t>
  </si>
  <si>
    <t>731-732-786-777-766-713-714-717-720-721-746-747-750-751-753-756-757-711-772-774-775-844-704-706-707-708-724-725-727-728-733-734-762-764-765-768-785-778-739-741-742-763-767-779-782-787-702-709-710-712-716-718-744-745-748-749-752-754-755-703-705-719-726-730-735-736-737-738-715-729-740-743-758-760-761-769-770-771-773-776-780-781-783-784-722-723</t>
  </si>
  <si>
    <t>Δ (722)</t>
  </si>
  <si>
    <t>ΚΕΡΑΜΙΔΑ</t>
  </si>
  <si>
    <t>ΑΝ385213</t>
  </si>
  <si>
    <t>733-734-735-736-737-738-740-715-768-723-722-730-760-761-762-771-776-785-744-745-746-747-748-749-750-751-752-753-754-755-756-757-702-703-704-705-706-707-708-709-710-711-712-713-714-716-717-718-719-720-721-724-725-726-727-728-729-731-732-739-741-742-743-758-759-763-764-765-766-767-769-770-772-773-774-775-777-778-779-780-781-782-783-784-786-787</t>
  </si>
  <si>
    <t>ΡΕΣΜΠΙΘΑ</t>
  </si>
  <si>
    <t>ΑΒ799573</t>
  </si>
  <si>
    <t>765-764-703-709-710-711-713-714-717-720-721-746-747-750-751-753-756-757</t>
  </si>
  <si>
    <t>ΓΕΙΤΟΝΑ</t>
  </si>
  <si>
    <t>ΝΑΥΣΙΚΑ ΝΕΚΤΑΡΙΑ</t>
  </si>
  <si>
    <t>ΑΒ549159</t>
  </si>
  <si>
    <t>763-741-742-779-780-743-739-782-769-767-787-731-732-786-777-766-770-781-844-704-705-758-759-762-703-724-725-726-729-730-768-727-728-740-760-761-706-707-708-715-771-776-783-784-764-765-785-778-722-723-733-734-735-736-737-738-719-772-774-775-702-709-710-711-712-713-714-716-717-718-720-721-744-745-746-747-748-749-750-751-752-753-754-755-756-757-773</t>
  </si>
  <si>
    <t>ΚΟΥΡΠΟΥΑΝΙΔΟΥ</t>
  </si>
  <si>
    <t>ΑΠΟΣΤΟΛΙΑ</t>
  </si>
  <si>
    <t>ΑΖ786235</t>
  </si>
  <si>
    <t>761-760-730-768-715-740-769-763-725-726-714-713-762-704-705-706-771-776-782-784-753-758-719-703-767-765-774-773-737-723-738-764-780-778-770-787-733-716-718-741-744-745-751-752-750-749-779-775-772-785-783-736-735-734-739-746-747-748-781-717-712-711-709-844-707-708-729-731-732-754-742-757-756-759-755-702-710-720-721-722-724-727-766</t>
  </si>
  <si>
    <t>ΝΟΤΟΣ</t>
  </si>
  <si>
    <t>ΑΚ645926</t>
  </si>
  <si>
    <t>ΚΑΡΑΜΠΕΡΗ</t>
  </si>
  <si>
    <t>ΑΖ242344</t>
  </si>
  <si>
    <t>711-713-714-717-751-753-720-721</t>
  </si>
  <si>
    <t>ΝΕΖΗ</t>
  </si>
  <si>
    <t>ΑΡΓΥΡΩ</t>
  </si>
  <si>
    <t>Ρ923551</t>
  </si>
  <si>
    <t>704-844-762-703-705-764-765-759-729-768-706-707-708-716-727-728-733-734-746-747-750-751-753-756-757-720-721-724-725-726-711-713-714-781-783-784-773-771-785-702-717-710-709-712-718-719-737-736-735-738-748-749-745-744-755-752-754-775-772-774-741-742-739-740-770-780-715-722-723-730-760-761-743-769-758-787-777-778-779-766-731-732-786-776-782-767-763</t>
  </si>
  <si>
    <t>ΜΠΑΤΖΙΟΥ</t>
  </si>
  <si>
    <t>Χ977452</t>
  </si>
  <si>
    <t>773-721-720-753-747-746-751-750-711-714-713-717-757-756</t>
  </si>
  <si>
    <t>ΤΣΑΓΡΗ</t>
  </si>
  <si>
    <t>Τ890024</t>
  </si>
  <si>
    <t>844-704-762-706-714-756-757-713-707-708-711-733-734-773-746-747-750-720-721-717-724-725-753-751</t>
  </si>
  <si>
    <t>ΑΝΔΡΙΑΝΟΠΟΥΛΟΣ</t>
  </si>
  <si>
    <t>Χ118360</t>
  </si>
  <si>
    <t>718-775-720-721-719-749-744-745-716-753-754-746-752-774</t>
  </si>
  <si>
    <t>ΚΑΙΣΕΡΟΓΛΟΥ</t>
  </si>
  <si>
    <t>ΑΒ122403</t>
  </si>
  <si>
    <t>733-734-711-713-714-720-721-746-747-750-751-753-756-757-773-717</t>
  </si>
  <si>
    <t>ΦΩΤΙΑΔΗΣ</t>
  </si>
  <si>
    <t>ΑΖ794693</t>
  </si>
  <si>
    <t>721-720-775-757-718-709-747-746-749-750-753-752-748-716-714-745-751-702-713-754-772-774-773-719-717-755-756-744-711-712-710-732-731-726-762-708-707-703-704-705-730-737-738-740-760-761-766-777-785-786-735-736</t>
  </si>
  <si>
    <t>ΤΕΡΖΗΣ</t>
  </si>
  <si>
    <t>ΑΗ709281</t>
  </si>
  <si>
    <t>704-720-721-713-714-717-844-711-724-725-727-728-733-734-746-747-750-751-753-756-757-762-771-773-776</t>
  </si>
  <si>
    <t>ΤΖΙΜΑΣ</t>
  </si>
  <si>
    <t>ΑΙ095200</t>
  </si>
  <si>
    <t>753-711-713-751-757-750-714-756-747-746-717-721-720</t>
  </si>
  <si>
    <t>ΠΑΠΑΓΙΑΝΝΑΚΗ</t>
  </si>
  <si>
    <t>ΑΚ560598</t>
  </si>
  <si>
    <t>732-777-786-737-735-733-705-768-761-787-753-745-748-749-752-718-709-719-772-744-754-756-710-702-766-703-704-706-707-708-711-712-713-714-715-716-717-720-721-722-723-724-725-726-727-728-729-730-731-734-736-738-739-740-741-742-743-746-747-750-751-755-757-758-759-760-762-763-764-765-767-769-770-771-773-774-775-776-778-779-780-781-782-783-784-785-844</t>
  </si>
  <si>
    <t>ΧΙΩΤΑΚΗ</t>
  </si>
  <si>
    <t>ΑΗ769284</t>
  </si>
  <si>
    <t>768-740-733-738-785-781-782-769-739-729-758-779-763-780-741-742-731-732-777-786-767-760-702-709-714-717-718-719-720-721-744-757-772-774-775-773-703-705-715-716-743-759-761-762-764-765-766-770-771-776-778-783-784-725-726-727-728-724-708-707-706-722-723</t>
  </si>
  <si>
    <t>ΦΙΣΤΟΥΡΗ</t>
  </si>
  <si>
    <t>ΑΝΝΑ ΙΩΑΝΝΑ</t>
  </si>
  <si>
    <t>ΑΙ076991</t>
  </si>
  <si>
    <t>757-747-750-713-711-720-721</t>
  </si>
  <si>
    <t>ΚΑΡΑΜΠΗΣ</t>
  </si>
  <si>
    <t>ΑΝΔΡΕΑΣ-ΑΛΕΞΑΝΔΡΟΣ</t>
  </si>
  <si>
    <t>ΑΙ799928</t>
  </si>
  <si>
    <t>762-703-709-711-713-714-717-720-721-724-725-733-734-739-741-746-747-750-751-753-757-763-767-769-773-779-780-781-782</t>
  </si>
  <si>
    <t>ΝΑΟΥΜΗ</t>
  </si>
  <si>
    <t>ΑΜ168183</t>
  </si>
  <si>
    <t>717-713-757-773-746-751-750-747-753-714-711-721-720-719-718-745-752-748-716-744-709-702-775-754-712-774-772-749-756-755-710</t>
  </si>
  <si>
    <t>ΤΣΙΝΤΖΙΛΩΝΗ</t>
  </si>
  <si>
    <t>Φ293622</t>
  </si>
  <si>
    <t>762-844-704-706-724-725-707-708-734-711-713-746-747-750-751-753-756-773-717-721-720-714-733-757-781-776-783-784-727-728-771-739-741-742-763-769-770-780</t>
  </si>
  <si>
    <t>ΑΝΔΡΙΑΝΟΥ</t>
  </si>
  <si>
    <t>ΑΙ789264</t>
  </si>
  <si>
    <t>762-720-721-717-750-746-747-751-753-757-714-713</t>
  </si>
  <si>
    <t>ΒΛΑΣΙΟΣ</t>
  </si>
  <si>
    <t>ΑΒ810606</t>
  </si>
  <si>
    <t>702-703-704-705-706-707-708-709-710-711-712-713-714-715-716-717-718-719-720-721-722-723-724-725-726-727-728-729-730-731-732-734-735-736-737-738-739-740-741-742-743-744-745-746-747-748-749-750-751-752-753-754-755-756-757-758-759-760-761-762-763-764-765-766-767-768-769-770-771-772-773-774-775-776-777-778-779-780-781-782-783-784-785-786-787</t>
  </si>
  <si>
    <t>ΝΙΚΟΛΑΚΗΣ</t>
  </si>
  <si>
    <t>ΑΖ079991</t>
  </si>
  <si>
    <t>719-720-775-774-718-745-748-746-786-777</t>
  </si>
  <si>
    <t>ΒΟΥΖΑ</t>
  </si>
  <si>
    <t>ΑΜ103455</t>
  </si>
  <si>
    <t>713-716-709-718-757-720-711-712-750-717-746-747-744-752-748-745-734-735-749-754-753-751</t>
  </si>
  <si>
    <t xml:space="preserve">ΔΙΑΜΑΝΤΑΚΗ </t>
  </si>
  <si>
    <t>ΑΟ066760</t>
  </si>
  <si>
    <t>748-746-747-754-749-745-709-744-712-752-757-702-753-755-720-721-756-717-751-713-718-719</t>
  </si>
  <si>
    <t>ΓΩΝΙΑΤΗ</t>
  </si>
  <si>
    <t>ΜΕΛΠΟΜΕΝΗ</t>
  </si>
  <si>
    <t>ΑΗ303841</t>
  </si>
  <si>
    <t>760-761-785-730-735-736-737-738-740-702-703-705-709-712-716-718-719-726-731-732-744-745-748-749-752-754-755-764-765-766-734-711-713-714-717-720-721-746-747-750-751-753-756-757-773-844-704-706-707-708-724-725-762</t>
  </si>
  <si>
    <t>ΜΠΑΝΤΟΥ</t>
  </si>
  <si>
    <t>ΑΒ114679</t>
  </si>
  <si>
    <t>776-761-760-738-736-737-740-733-782-734-735-785-703-844-704-705-707-706-708-715-719-772-774-775-722-723-724-725-726-727-728-729-730-731-732-739-741-742-743-758-759-762-763-764-765-766-767-768-769-770-771-777-778-779-780-781-783-784-786-787-702-709-710-711-712-713-714-716-717-718-720-721-744-745-746-747-748-749-750-751-752-753-754-755-756-757-773</t>
  </si>
  <si>
    <t>ΚΡΥΠΩΤΟΣ</t>
  </si>
  <si>
    <t>ΑΕ272993</t>
  </si>
  <si>
    <t>753-750-747-720-721-713-751-756-757-762-773-724-717-714-706-707-708</t>
  </si>
  <si>
    <t>ΣΩΡΡΑΣ</t>
  </si>
  <si>
    <t>ΑΚ340581</t>
  </si>
  <si>
    <t>705-718-710-712-713-709-719-715-716-723-722-720-721-724-726-729-731-732-735-730-733-738-736-737-740-739-744-745-748-749-750-752-755-754-756-757-761-760-762-766-768-774-775-772-773-777-785-786-725-746-751</t>
  </si>
  <si>
    <t>ΧΑΤΖΗΑΠΟΣΤΟΛΟΥ</t>
  </si>
  <si>
    <t>ΑΜ031660</t>
  </si>
  <si>
    <t>774-719-772-716-720-721-718-717-702-745-747-755-754-756-757</t>
  </si>
  <si>
    <t>ΤΣΕΠΟΛΑ</t>
  </si>
  <si>
    <t>ΑΝ079432</t>
  </si>
  <si>
    <t>720-721-753-717-746-747-756-757-773-750-751-713-711-714-762-783-784-733-734-769</t>
  </si>
  <si>
    <t>ΜΩΥΣΙΔΟΥ</t>
  </si>
  <si>
    <t>ΙΩΑΝΝΑ ΕΥΑΓΓΕΛΙΑ</t>
  </si>
  <si>
    <t>ΑΟ695587</t>
  </si>
  <si>
    <t>778-722-723-771-740-715-733-734-735-736-737-738-702-703-704-705-706-707-708-709-710-711-712-713-714-716-717-718-719-720-721-724-725-726-727-728-730-731-732-744-745-746-747-748-749-750-751-752-753-754-755-756-757-760-761-762-764-765-766-768-772-773-774-775-776-777-785-786</t>
  </si>
  <si>
    <t>ΑΡΙΚΑΣ</t>
  </si>
  <si>
    <t>ΑΕ508171</t>
  </si>
  <si>
    <t>749-748-755-745-774-775-719-702-752-757-721-720-747-750-756-751-773-746-718-754-753-744-772-709-711-712-713-710-716-714-766-723-768-785-777-786-726-704-707-708-844-706-762-724-725-734-722</t>
  </si>
  <si>
    <t>ΝΙΚΟΛΑΚΟΠΟΥΛΟΥ</t>
  </si>
  <si>
    <t>ΑΒ666447</t>
  </si>
  <si>
    <t>702-773-774-753-748-749-757-754-712-718-745-709-711-746-747-755-756-772-751-750-713-744-720-775-717-716</t>
  </si>
  <si>
    <t>ΜΠΑΛΑΦΟΥΤΗ</t>
  </si>
  <si>
    <t>ΑΜ772054</t>
  </si>
  <si>
    <t>713-711-714-749-751-754-712-709-710-752-748-744-745-717-757-747-746-750-755-716-774-772-773-719-718-753-720-721-702</t>
  </si>
  <si>
    <t>ΓΚΕΣΟΥΛΗΣ</t>
  </si>
  <si>
    <t>ΑΕ279144</t>
  </si>
  <si>
    <t>738-749-748-744-745-752-755-761-774-775-705-709-718-719-732-735-731-736-737-754-766-768-772-785-786-703-702-710-712-733-726-730-740-753-756-760-765-764-777-707-708-711-713-716-720-721-724-734-762-747-750-757-844-704-714-725-706-751-773-778-723-770-771-715-722-717-729-758-739-741-746-769-776-781-783-784-780</t>
  </si>
  <si>
    <t>ΑΒ061406</t>
  </si>
  <si>
    <t>750-756-711-747-751-757-717-713-714-720-721</t>
  </si>
  <si>
    <t>ΣΤΑΘΟΠΟΥΛΟΣ</t>
  </si>
  <si>
    <t>ΑΒ996954</t>
  </si>
  <si>
    <t>713-721-720-746-714-747-750-751-753-756-757-773</t>
  </si>
  <si>
    <t>ΑΝΔΡΙΩΤΗΣ</t>
  </si>
  <si>
    <t>ΧΡΙΣΤΟΔΟΥΛΟΣ</t>
  </si>
  <si>
    <t>ΑΒ415760</t>
  </si>
  <si>
    <t>720-721-702-754-749-748</t>
  </si>
  <si>
    <t>ΚΑΤΣΑΝΤΩΝΗ</t>
  </si>
  <si>
    <t>ΑΙ766735</t>
  </si>
  <si>
    <t>705-704-844-762-749-774-748-744-755-752-718-745-775-709-754-772-719-702-716-712-710-711-753-756-713-747-721-720-714-750-757-773-751-717-746-703</t>
  </si>
  <si>
    <t>ΝΙΚΟΛΗ</t>
  </si>
  <si>
    <t>ΜΑΝΩΛΙΑ</t>
  </si>
  <si>
    <t>ΑΙ50027</t>
  </si>
  <si>
    <t>774-775-756-713-721-749-745-744-702-709-710-711-712-714-716-717-718-719-720-746-747-748-750-751-752-753-754-757-772-773</t>
  </si>
  <si>
    <t>ΝΟΥΣΑ</t>
  </si>
  <si>
    <t>ΑΙ120382</t>
  </si>
  <si>
    <t>735-736-737-734-733-702-703-704-705-706-707-708-709-710-711-712-713-714-715-716-717-718-719-720-721-722-723-724-725-726-727-728-729-730-731-732-738-739-740-741-742-743-744-745-746-747-748-749-750-751-752-753-754-755-756-757-758-759-760-761-762-763-764-765-766-767-768-769-770-771-772-773-774-775-776-777-778-779-780-781-783-784-785-786-787-782</t>
  </si>
  <si>
    <t>ΡΑΤΣΑΣ</t>
  </si>
  <si>
    <t>X486055</t>
  </si>
  <si>
    <t>707-706-783-784-844-704-708-711-713-714-717-720-721-724-725-727-726-733-734-739-741-742-746-747-750-751-753-756-757-762-763-773-776-781-780-771-770-769-768-702-703-705-709-710-712-716-718-719-729-730-731-732-735-736-737-738-740-744-745-748-749-752-754-755-758-759-760-761-764-765-766-772-774-775-777-778-779-782-785-786-787</t>
  </si>
  <si>
    <t>ΚΑΨΑΛΗ</t>
  </si>
  <si>
    <t>Χ110969</t>
  </si>
  <si>
    <t>ΝΤΑΤΣΙ</t>
  </si>
  <si>
    <t>ΜΠΡΟΥΝΙΛΝΤΑ</t>
  </si>
  <si>
    <t>ΠΑΣΚ</t>
  </si>
  <si>
    <t>ΑΝ279285</t>
  </si>
  <si>
    <t>713-720-711-750-757-762-708-706-721-724-734-746-741-725-745-770-774-780-752-765-764</t>
  </si>
  <si>
    <t>ΚΩΝΣΤΑΝΤΙΑ</t>
  </si>
  <si>
    <t>ΑΙ979829</t>
  </si>
  <si>
    <t>727-728-750-757-783-784-725-724-781-706-707-708-762-704-844-769-747-746-711-713-751-756-753-773-714-717-720-721-770-733-734-776-780-763-741-739-742-771-768-726-748-705-716-709-718-744-749-755-752-745-754-774-775-712-702-710-719-785-731-732-777-786-766-738-736-737-735-703-765-729-764-758-779-787-743-730-740-767-761-760-782-778-715-722-723</t>
  </si>
  <si>
    <t>ΑΟ373174</t>
  </si>
  <si>
    <t>768-726-761-760-712-716-718-719-730-735-736-737-738-749-752-754-755-772-774-775-785-702-703-709-710-740-745-744-748-706-707-708-711-713-720-725-733-734-753-704-705-714-731-732-756-762-777-724-722-723-758-759-764-765-766-767-778-779-780-784-781-782-783-786-787-743-728-729-727-844-715-721-739-741-742-747-746-750-717-751-763-769-773-770-771-776</t>
  </si>
  <si>
    <t>ΚΡΑΝΙΑ</t>
  </si>
  <si>
    <t>Τ474734</t>
  </si>
  <si>
    <t>844-704-706-707-708-711-713-714-717-720-721-724-725-727-728-733-734-746-747-750-751-753-756-757-762-773-776-780-781</t>
  </si>
  <si>
    <t>ΛΟΥΚΑ</t>
  </si>
  <si>
    <t>Χ692341</t>
  </si>
  <si>
    <t>718-719-717-773-720-721-757-746-747-713-714-756-751-750-744-711-753-774-775-755-716-754-752-749-748-745-702-709-710-712</t>
  </si>
  <si>
    <t>ΑΟ233861</t>
  </si>
  <si>
    <t>733-734-771-711-713-714-717-720-721-724-726-746-747-750-751-753-756-757-773-763-769-780-781-741-739-742-706-707-708-844</t>
  </si>
  <si>
    <t>ΤΑΡΕ</t>
  </si>
  <si>
    <t>ΑΙ264880</t>
  </si>
  <si>
    <t>844-704-705-733-734-735-736-737-738-759-758-762-785-768-729-706-707-702-703-708-709-710-711-712-713-714-715-716-717-718-719-720-721-722-723-724-725-726-727-728-730-731-732-739-740-741-742-743-744-745-746-747-748-749-750-751-752-753-754-755-756-757-760-761-763-764-765-766-767-769-770-771-772-773-774-775-776-777-778-779-780-781-782-783-784-786-787</t>
  </si>
  <si>
    <t>ΑΝ847226</t>
  </si>
  <si>
    <t>733-734-736-737-738-785-711-713-714-717-720-721-746-747-750-751-753-756-757-773-768-707-708-702-703-709-710-712-716-718-719-735-744-745-748-749-752-754-755-772-774-775</t>
  </si>
  <si>
    <t>ΡΟΜΑΝ ΔΟΥΚΑΡΑ</t>
  </si>
  <si>
    <t>ΒΕΝΣΕΣΛΑΟ</t>
  </si>
  <si>
    <t>ΑΝ208581</t>
  </si>
  <si>
    <t>734-733-721-720-717-714-713-773-751-753-756-757-776-711-844-704-706-707-708-724-725-727-728-739-741-742-746-747-762-763-769-780-781-784-783-737-736-735-723-722-770-702-703-705-709-710-712-715-716-718-719-726-729-730-731-732-740-743-744-745-748-749-752-754-755-758-759-760-761-764-765-766-767-768-772-774-775-777-778-779-782-785-786-787</t>
  </si>
  <si>
    <t>ΚΟΥΖΙΝΑ</t>
  </si>
  <si>
    <t>ΑΖ273915</t>
  </si>
  <si>
    <t>711-713-718-745-744-747-748-749-752-754-755-757-720-721-724-785-734-735-736-737-738-774-775-705-762-731-732-766-786</t>
  </si>
  <si>
    <t>ΜΠΑΧΟΥ</t>
  </si>
  <si>
    <t>Φ241792</t>
  </si>
  <si>
    <t>704-844-711-714-717-720-721-762-750-751-753-756-757-713-746-747-773-708-707-724-725-733-734-776-705-703-766-759-764-744-745-748-749-752-702-754-772-775-774-709-710-712-716-718-719-768-760-761-743-769-785-715-778-777-786-787-779-758</t>
  </si>
  <si>
    <t>ΣΦΑΕΛΛΟΥ</t>
  </si>
  <si>
    <t>ΑΗ088923</t>
  </si>
  <si>
    <t>773-747-746-720-750-753-756-757-751-713-714-711-721-717-709-716-752-719-745-748-749-755-754-774-772-718-712-702-744-710</t>
  </si>
  <si>
    <t>ΤΣΙΡΟΣ</t>
  </si>
  <si>
    <t>ΑΝ816948</t>
  </si>
  <si>
    <t>704-724-762-720-721-714-844-717-713-711-753-751-756-757-773-750-746-781-769-770-780-783-776-727-707-771-739-741-742-763-784-728</t>
  </si>
  <si>
    <t>ΓΙΑΝΝΕΛΗΣ</t>
  </si>
  <si>
    <t>ΑΚ998124</t>
  </si>
  <si>
    <t>785-721-720-742-741-733-770-734-844-704-711-713-714-717-747-746-750-753-756-757-751-773-724-725-762-783-784-706-707-708-763-769-771-776-780-781</t>
  </si>
  <si>
    <t>ΚΩΣΤΟΓΙΑΝΝΟΠΟΥΛΟΥ</t>
  </si>
  <si>
    <t>Σ215744</t>
  </si>
  <si>
    <t>710-709-711-713-714-718-720-744-745-746-747-748-749-750-751-752-753-754-755-756-757</t>
  </si>
  <si>
    <t>ΣΑΜΑΝΤΑ</t>
  </si>
  <si>
    <t>ΑΙ255725</t>
  </si>
  <si>
    <t>704-705-762-702-709-710-711-712-713-714-716-717-718-719-720-721-744-745-746-747-748-749-750-751-752-753-754-755-756-757-733-734-735-736-737-738-727-728-768-765-764-703-844-706-707-708-724-725-726-785-783-784-776-771-760-740-730-786-731-732</t>
  </si>
  <si>
    <t>ΓΑΒΡΙΗΛ</t>
  </si>
  <si>
    <t>ΑΒ032697</t>
  </si>
  <si>
    <t>748-714-713-709-745-750-716-746-749-751-754-752-753-755-756-757-712-711-710-744-747-717-718-719-720-721-773-774</t>
  </si>
  <si>
    <t>ΠΑΠΠΑΣ</t>
  </si>
  <si>
    <t>Χ485184</t>
  </si>
  <si>
    <t>728-727-706-707-708-783-784-733-734-762-781-713-711-714-717-720-721-724-725-746-747-750-753-756-757-773-776-771-844-704-739-741-742-751-763-769-770-780</t>
  </si>
  <si>
    <t>ΠΑΝΟΥΤΣΟΠΟΥΛΟΥ</t>
  </si>
  <si>
    <t>ΑΙ781983</t>
  </si>
  <si>
    <t>773-772-774-719-775-717-716-714-713-712-711-720-721-757-756-755-754-753-752-751-750-749-748-747-746-745-744-718-710-709-703-702</t>
  </si>
  <si>
    <t>ΚΑΡΑΓΕΩΡΓΟΥ</t>
  </si>
  <si>
    <t>ΑΚ550147</t>
  </si>
  <si>
    <t>718-713-773-757-751-750-719-717-754-746-747-749-748-745-753-744-720-721-714-716</t>
  </si>
  <si>
    <t>ΚΑΛΚΟΥΝΗ</t>
  </si>
  <si>
    <t>ΠΑΡΑΣΚΕΥΟΥΛΑ</t>
  </si>
  <si>
    <t>ΑΜ488374</t>
  </si>
  <si>
    <t>725-726-724-706-707-708-702-709-710-711-712-713-714-772-716-717-718-719-720-721-744-745-746-747-748-749-750-751-752-753-754-755-756-757-775-773-774</t>
  </si>
  <si>
    <t>ΤΑΣΙΚΑ</t>
  </si>
  <si>
    <t>ΑΑ869385</t>
  </si>
  <si>
    <t>761-760-733-734-735-736-737-738-785-730-776-768-740-715-732-786-766-777-722-723-771-778-703-844-705-706-707-784-783-764-765-762-708-727-728-702-709-710-711-712-713-714-716-717-718-719-720-721-744-745-746-747-748-749-751-750-757-756-755-754-753-752-775-774-773-772-724-725-726-729-739-741-742-743-758-759-763-767-769-770-779-780-781-782-787</t>
  </si>
  <si>
    <t>ΧΑΤΖΗΔΑΚΗ</t>
  </si>
  <si>
    <t>ΑΑ464147</t>
  </si>
  <si>
    <t>777-786-732-731-766-768-702-844-704-705-709-710-711-712-716-717-718-719-733-734-735-736-737-738-772-773-774-775-785-724-725-726-706-707-708-703-729-758-759-762-744-745-746-747-748-749-750-751-752-753-754-755-756-757-764-770-782-739-763-743-741-765-767-769-779-780-781-787-760-761-727-728-715-783-784-776-730-778-771-713-714-720-721-722-723-742</t>
  </si>
  <si>
    <t>ΚΟΛΟΚΟΤΡΩΝΗΣ</t>
  </si>
  <si>
    <t>ΣΑΡΑΝΤΟΣ</t>
  </si>
  <si>
    <t>ΑΑ056453</t>
  </si>
  <si>
    <t>773-753-713-750-749-754-704-726-702-709-710-711-712-714-716-717-718-719-720-721-744-745-746-747-748-751-752-755-756-757-774-775-705-844-724-725-787-762-707-706-708-703-715-722-723-727-728-729-730-731-732-733-734-735-736-737-738-739-740-741-742-743-758-759-760-761-763-764-765-766-767-768-769-770-771-776-777-778-779-780-781-782-783-784-785-786</t>
  </si>
  <si>
    <t>ΜΑΝΤΑΣΑ</t>
  </si>
  <si>
    <t>Τ309254</t>
  </si>
  <si>
    <t>768-707-708-726-725-724-706-749-755-748-774-718-744-752-745-754-709-719-772-710-716-756-702-712-753-713-711-747-750-757-717-746-751-714-773-738-736-735-737-733-734-766-731-732-785-786-705-777-740-703-730-760-761-762-764-765-844-704-721-720-775</t>
  </si>
  <si>
    <t>ΜΠΟΥΔΟΥΡΗ</t>
  </si>
  <si>
    <t>ΑΗ860901</t>
  </si>
  <si>
    <t>787-733-734-738-737-736-735-740-724-725-726-730-720-721-717-750-746-747-753-745-748-749-744-756-751-757-752-755-754-702-704-705-707-708-719-773-775-774-772-732-731-776-786-777-723-767-771-780-785-779-778-766-765-764-759-758-760-761-762-763-739-729-722-703</t>
  </si>
  <si>
    <t>ΚΟΝΤΟΥΔΗ</t>
  </si>
  <si>
    <t>Χ700827</t>
  </si>
  <si>
    <t>709-710-711-712-713-714-716-717-718-719-720-721-744-745-746-747-748-749-750-751-752-753-754-755-756-757-702</t>
  </si>
  <si>
    <t>ΚΟΛΛΙΑ</t>
  </si>
  <si>
    <t>Χ068405</t>
  </si>
  <si>
    <t>713-711-720-757-746-747-750-753-751-721-714</t>
  </si>
  <si>
    <t>ΠΕΤΡΟΥΛΗ</t>
  </si>
  <si>
    <t>Χ792456</t>
  </si>
  <si>
    <t>703-775-753-757-720-721-717-711-712-710-746-747-745-709-749-748-754-713-714-755-756-718-716-744-751-752-773-774-719-702-707-708-762-724-844</t>
  </si>
  <si>
    <t>ΑΛΑΤΖΑ</t>
  </si>
  <si>
    <t>Χ532858</t>
  </si>
  <si>
    <t>762-716-718-721-719-774-772-720-773-746-750-744-747-757-751</t>
  </si>
  <si>
    <t>ΚΑΛΟΡΜΑΚΗ</t>
  </si>
  <si>
    <t>ΑΙ540521</t>
  </si>
  <si>
    <t>719-773-774-775-772-720-721-718-753-716-717-713-709</t>
  </si>
  <si>
    <t>ΣΤΑΓΙΑ</t>
  </si>
  <si>
    <t>ΑΒ080577</t>
  </si>
  <si>
    <t>773-753-713-751-772-747-746-750-775-721-720-757-774-756-718-719-702-714-717-716-744-748-752</t>
  </si>
  <si>
    <t>ΖΑΡΑ</t>
  </si>
  <si>
    <t>ΑΕ237191</t>
  </si>
  <si>
    <t>844-704-705-703-702-709-710-711-712-713-714-716-717-718-720-721-744-745-746-747-748-749-750-751-752-753-754-755-756-757-719-772-773-774-775-776-706-707-708-733-734-735-736-737-738-786-777-731-732-766-764-765-768-722-723-727-728-729-739-741-742-743-758-759-763-767-769-771-778-779-780-781-783-784</t>
  </si>
  <si>
    <t>ΜΑΚΡΗΣ</t>
  </si>
  <si>
    <t>ΑΖ123173</t>
  </si>
  <si>
    <t>720-721-773-746-747-750-757-751-753-713-711-714-717-725-708-762-724-733-728-734</t>
  </si>
  <si>
    <t>ΜΑΛΛΙΚΟΠΟΥΛΟΣ</t>
  </si>
  <si>
    <t>ΑΟ457044</t>
  </si>
  <si>
    <t>753-754-718-719-746-748-747-720-721-750-749-736-737-738-756-757-716-734-717-735-711-713-714-733</t>
  </si>
  <si>
    <t>ΚΥΡΟΓΛΟΥ</t>
  </si>
  <si>
    <t>Ρ247815</t>
  </si>
  <si>
    <t>771-733-734-724-725-723-722-706-707-708-844-704-711-713-714-717-720-721-746-747-750-751-753-756-757-773-776-763-769-762</t>
  </si>
  <si>
    <t>ΜΑΡΙΑ ΕΛΕΝΗ</t>
  </si>
  <si>
    <t>Χ068314</t>
  </si>
  <si>
    <t>713-711-710-709-714-716-717-718-720-721-744-745-746-747-748-749-750-751-752-753-754-755-756-757</t>
  </si>
  <si>
    <t>ΤΟΥΡΓΑΙΔΗΣ</t>
  </si>
  <si>
    <t>ΑΗ770917</t>
  </si>
  <si>
    <t>733-734-735-736-737-738-739-702-703-844-704-705-706-707-708-709-710-711-712-713-714-715-716-717-718-719-720-721-722-723-724-725-726-727-728-729-730-731-732-740-741-742-743-744-745-746-747-748-749-750-751-752-753-754-755-756-757-758-759-760-761-762-763-764-765-766-767-768-769-770-771-772-773-774-775-776-777-778-779-780-781-782-783-784-785-786-787</t>
  </si>
  <si>
    <t>ΣΤΕΦΟΥ</t>
  </si>
  <si>
    <t>ΦΑΝΗ-ΦΩΤΕΙΝΗ</t>
  </si>
  <si>
    <t>ΑΜ305721</t>
  </si>
  <si>
    <t>705-704-844-762-716-718-715-753-754-746-747-748-749-745-755-756-757-709-711-712-714-719-750-751-752-773-774-702-744-720-721-710-713-717-772-784</t>
  </si>
  <si>
    <t>ΜΑΡΙΝΟΥ</t>
  </si>
  <si>
    <t>ΑΗ029729</t>
  </si>
  <si>
    <t>713-751-711-712-746-747-748-709-773-750-754-749-752-755-756-757-710-745-714-753-718-719-744-720-774-772</t>
  </si>
  <si>
    <t>ΤΟΛΗΣ</t>
  </si>
  <si>
    <t>ΑΜ112909</t>
  </si>
  <si>
    <t>718-721-719-773-720-717-745-750-749-748-744-754-751-746-747-772-774-757-752-753-713-711-712-709-716-702-714</t>
  </si>
  <si>
    <t>ΜΑΛΙΣΙΟΒΑ</t>
  </si>
  <si>
    <t>ΕΥΘΥΜΙΑ - ΦΑΝΟΥΡΙΑ</t>
  </si>
  <si>
    <t>ΑΒ063887</t>
  </si>
  <si>
    <t>756-713-750-711-720-721-757-747-746-753-751-714-717-773-706-707-783-784-708-724-762-704-844-727-763-771-776-781-780-739-742-741-769-770</t>
  </si>
  <si>
    <t>ΚΑΛΥΒΑΣ</t>
  </si>
  <si>
    <t>704-746-747-750-751-753-756-757-713-717-711-720-721-724-725-774-733-780</t>
  </si>
  <si>
    <t>ΔΕΛΙΟΥ</t>
  </si>
  <si>
    <t>ΑΖ811229</t>
  </si>
  <si>
    <t>776-730-733-781-753-721-720-728-784-706-770-769-771-763-741-734-780-708-707-762-844-742-739-704</t>
  </si>
  <si>
    <t>ΚΟΥΜΑΝΤΑΝΗ</t>
  </si>
  <si>
    <t>ΑΛΕΞΙΑ</t>
  </si>
  <si>
    <t>ΑΚ835326</t>
  </si>
  <si>
    <t>753-746-747-748-718-749-745-754-744-757-750-751-709-752-719-720-721-755-756-714-713-711-712-716-717-702-773-710-775-772-774-762-726</t>
  </si>
  <si>
    <t>ΣΗΤΟΥ</t>
  </si>
  <si>
    <t>ΑΚ617305</t>
  </si>
  <si>
    <t>752-750-709-717-720-721-745-744-757-775-711-713-747-751-782-739-786-767-769-787-770-780-777-766-742-731-741-743-773-702</t>
  </si>
  <si>
    <t>ΚΑΖΑΝΤΖΗ</t>
  </si>
  <si>
    <t>ΑΗ942511</t>
  </si>
  <si>
    <t>734-735-736-733-738-785-715-730-740-721-720</t>
  </si>
  <si>
    <t>ΓΙΑΝΝΑΚΟΥΡΑΣ</t>
  </si>
  <si>
    <t>ΑΜ538431</t>
  </si>
  <si>
    <t>717-713-721-720-769-739-782-710-718-714-745-750-748-753-746-747-757-744-709-751-752-755-756-719-773-711-712-749-754-716-772-774-775-726-702-768-762-703-707-708-706-765-764-704-844-705-725-724-783-784-777-731-732-786-766-781-787-736-737-738-733-734-735-785-729-759-727-760-761-730-776-728-740-771-758-780-779-763-767-742-743-741-770</t>
  </si>
  <si>
    <t>ΦΙΟΡΑΚΗ</t>
  </si>
  <si>
    <t>ΑΙ956292</t>
  </si>
  <si>
    <t>746-747-748-749-750-753-751-755-756-757-754-752-773-774-775-709-710-716-717-720-721-702-711-713-712-714-718-719-745-744-772-768-740</t>
  </si>
  <si>
    <t>ΝΤΟΚΟΜΕ</t>
  </si>
  <si>
    <t>Φ257502</t>
  </si>
  <si>
    <t>702-703-844-715-704-705-706-707-708-709-710-711-712-713-714-716-717-718-719-720-721-722-723-724-725-726-727-728-729-787-786</t>
  </si>
  <si>
    <t>ΜΑΥΡΟΠΟΥΛΟΥ</t>
  </si>
  <si>
    <t>ΑΒ365109</t>
  </si>
  <si>
    <t>735-737-733-738-736-734-766-731-732-740-715-771-777-786-761-760-785-776-778-730-768-749-748-755-744-745-752-754-753-756-747-746-750-757-751-772-774-775-718-719-702-709-710-712-711-713-714-716-721-720-717-723-722-707-708-706-726-724-725-783-784-705-844-704-703-727-728-762-764-765-773-787-743-729-782-758-759-779-767-739-741-780-770-742-769-781-763</t>
  </si>
  <si>
    <t>ΠΛΑΚΕΤΑ</t>
  </si>
  <si>
    <t>ΑΖ613668</t>
  </si>
  <si>
    <t>761-760-730-776-733-734-735-736-737-738-785-768-715-740-732-766-777-786-722-723-771-778-703-844-705-704-706-707-708-727-728-762-764-765-783-784-702-709-710-711-712-713-714-716-717-718-719-720-721-744-745-746-747-748-749-750-751-752-753-754-755-756-757-772-773-774-775-724-725-726-729-739-741-742-743-758-759-763-767-769-770-779-780-782-787</t>
  </si>
  <si>
    <t>ΔΗΜΗΤΡΑ ΜΑΡΟΥΛΑ</t>
  </si>
  <si>
    <t>Φ122444</t>
  </si>
  <si>
    <t>745-752-749-713-751-746-747-748-750-753-754-755-756-757-709-710-711-712-714-718-702-719-772-773-774-721-720</t>
  </si>
  <si>
    <t>ΣΠΗΛΙΟΠΟΥΛΟΥ</t>
  </si>
  <si>
    <t>ΑΙΚΑΤΕΡΙΝΗ ΑΘΗΝΑ</t>
  </si>
  <si>
    <t>ΑΜ124426</t>
  </si>
  <si>
    <t>749-748-744-755-752-754-709-718-747-756-757-702-710-711-712-713-714-717-720-746-750-753-751-719-745-772-773-774-775</t>
  </si>
  <si>
    <t>ΧΑΡΙΤΟΥ</t>
  </si>
  <si>
    <t>ΑΖ743816</t>
  </si>
  <si>
    <t>758-729-759-844-704-705-738-737-736-735-734-733-760-761-768-776-711-713-714-717-721-720-745-755-754-753-752-751-750-749-748-747-746-785-774-775-773-772-762-757-756-787-781-780-779-731-732-739-741-770-769-767-766-763-743-742</t>
  </si>
  <si>
    <t>ΘΕΟΔΩΡΑΚΟΥ</t>
  </si>
  <si>
    <t>ΑΙ696707</t>
  </si>
  <si>
    <t>753-746-747-757-756-713-714-711-773-717-750-751-724-725-720-721</t>
  </si>
  <si>
    <t>ΠΕΣΙΡΙΔΟΥ</t>
  </si>
  <si>
    <t>ΑΖ290525</t>
  </si>
  <si>
    <t>761-760-730-776-768-740-715-733-738-737-736-735-734-785-732-766-777-786-703-844-784-783-765-764-762-728-727-708-707-706-705-704-702-709-710-711-712-713-714-716-717-718-719-720-721-744-745-746-747-748-749-750-751-752-753-754-755-756-757-772-773-774-775-722-723-771-778-724-725-726-729-787-780-781-782-779-770-769-767-763-759-758-743-742-741-739</t>
  </si>
  <si>
    <t>ΤΣΑΝΗ</t>
  </si>
  <si>
    <t>ΑΗ777645</t>
  </si>
  <si>
    <t>706-707-708-726-725-724-727-728-768-783-784-729-731-732-739-741-742-743-758-759-763-767-769-770-777-779-780-781-782-786-787-733-734-735-736-737-738-702-709-710-711-712-713-714-716-717-718-719-720-721-744-745-746-747-748-749-750-751-752-753-754-755-756-757-772-773-774-775</t>
  </si>
  <si>
    <t>ΜΑΝΙΑ</t>
  </si>
  <si>
    <t>ΑΜ733496</t>
  </si>
  <si>
    <t>779-782-720-721-710-756-757-753-714-702-716-713-705-704-724-725-726-718-712-711-709-719-744-745-746-747-748-749-750-751</t>
  </si>
  <si>
    <t>ΜΥΛΩΝΟΠΟΥΛΟΥ</t>
  </si>
  <si>
    <t>ΣΤΑΜΑΤΙΝΑ</t>
  </si>
  <si>
    <t>ΑΑ098056</t>
  </si>
  <si>
    <t>713-714-751-711-750-773-746-747-720-721-756-757-717</t>
  </si>
  <si>
    <t>ΡΑΤΣΑ</t>
  </si>
  <si>
    <t>ΓΙΑΝΑ</t>
  </si>
  <si>
    <t>ΣΕΡΤΖΙΟΥ</t>
  </si>
  <si>
    <t>ΑΟ475839</t>
  </si>
  <si>
    <t>765-764-702-703-704-705-706-707-708-709-710-711-712-713-714-715-716-717-718-719-720-721-722-723-724-725-726-727-728-729-730-731-732-734-735-736-737-738-739-740-741-742-743-744-745-746-747-748-749-750-751-752-753-754-755-756-757-758-759-760-761-762-763-766-767-768-769-770-771-772-773-774-775-776-777-778-779-780-781-782-783-784-785-786-787</t>
  </si>
  <si>
    <t>ΦΑΣΣΑΡΗ</t>
  </si>
  <si>
    <t>ΑΗ700907</t>
  </si>
  <si>
    <t>753-752-748-749-745-744-754-709-710-772-702-713-712-711-718-719-717-714-720-721-751-757-755-756-774-775-746-747-750-773-705-704-844-706-707-703-725-726-731-732-733-734-736-737-738-762-768-708</t>
  </si>
  <si>
    <t>ΠΑΠΑΝΑΣΤΑΣΙΟΥ</t>
  </si>
  <si>
    <t>ΑΖ084449</t>
  </si>
  <si>
    <t>711-750-757-753-747-746-710-713-712-752-749-754-748-709-744-745-719-756-755-720</t>
  </si>
  <si>
    <t>ΚΟΥΡΤΗ</t>
  </si>
  <si>
    <t>ΑΗ170101</t>
  </si>
  <si>
    <t>734-733-711-713-747-750-757-762-724-707-708-720-721-706-746-751-753-756-773-714-717-704-725-844-735-736-737-738-740-730-761-760-785-768-749-748-744-745-705-774-775-772-755-752-754-718-719-709-702-710-712-716-764-765-703-726-731-732-766-786-777-723-778-715-722-771-776-759-783-784-727-728-758-729-739-741-742-743-767-769-770-763-779-780-781-782-787</t>
  </si>
  <si>
    <t>ΦΟΥΝΤΑΣ</t>
  </si>
  <si>
    <t>ΑΙ776517</t>
  </si>
  <si>
    <t>702-703-704-705-706-707-708-709-710-711-712-713-714-715-716-717-718-719-720-721-722-723-724-725-726-727-728-729-730-731-732-733-734-735-736-737-738-739-740-741-742-743-744-745-746-747-748-749-750-751-752-753-754-755-756-757-758-759-760-761-762-763-764-765-766-767-768-769-770-771-772-773-774-775-776-777-778-779-780-781-783-782-784-785-786-787</t>
  </si>
  <si>
    <t>ΡΑΠΤΗ</t>
  </si>
  <si>
    <t>ΑΗ249152</t>
  </si>
  <si>
    <t>704-733-734-746-747-756-751-750-773-711-713-714-717-720-721-753-757-771-762-763</t>
  </si>
  <si>
    <t>ΑΧΙΛΛΕΥΣ</t>
  </si>
  <si>
    <t>ΑΑ430793</t>
  </si>
  <si>
    <t>733-734-735-736-737-738-740-768-776-781-844-704-705-706-707-708-709-710-711-712-713-714-715-716-717-718-719-720-721-722-723-724-725-726-727-728-729-730-731-732-739-741-742-743-744-745-746-747-748-749-750-751-752-753-754-755-756-757-758-759-760-761-762-763-764-765-766-767-769-770-771-772-773-774-775-777-778-779-780-782-783-784-785-786-787</t>
  </si>
  <si>
    <t>ΑΒΡΑΜΠΟΥ</t>
  </si>
  <si>
    <t>ΑΕ722686</t>
  </si>
  <si>
    <t>706-768-783-784-707-708-724-725-727-728-726-704-844-705-709-710-711-712-713-714-715-717-718-720-721-733-734-735-736-737-738-744-745-746-747-748-749-750-751-752-753-754-755-756-757-772-773-774-775-776-785-730-740-716-760-761-762-764-765-766-781-779-780-782-786-787-729-722-723-702-703-731-732-739-777-778-741-742-743</t>
  </si>
  <si>
    <t>ΤΖΟΥΤΖΟΜΗΤΡΟΥ</t>
  </si>
  <si>
    <t>ΑΝ147128</t>
  </si>
  <si>
    <t>746-713-747-750-751-717-773-757-756-753-711-714-721-720-762-704-707-708</t>
  </si>
  <si>
    <t>ΤΣΙΡΩΝΗ</t>
  </si>
  <si>
    <t>Χ838846</t>
  </si>
  <si>
    <t>750-755-756-757-744-746-747-748-702-717-751-720-721-713-752-749-754-753-745-710-718-775-714</t>
  </si>
  <si>
    <t>ΑΒ198455</t>
  </si>
  <si>
    <t>784-783-705-704-844-706-707-708-702-703-709-710-711-712-713-714-715-716-717-718-719-720-721-722-723-724-725-726-727-728-729-735-730-731-732-733-734-736-737-738-739-740-741-742-743-744-745-746-747-749-748-750-752-751-753-754-755-756-757-758-759-760-761-762-763-764-765-766-767-768-769-770-771-772-773-774-775-776-777-778-779-780-781-782-785-786-787</t>
  </si>
  <si>
    <t>ΝΕΡΗ</t>
  </si>
  <si>
    <t>ΜΑΡΙΟΣ</t>
  </si>
  <si>
    <t>ΑΒ247840</t>
  </si>
  <si>
    <t>702-709-710-711-713-712-714-717-719-718-721-720-744-746-745-747-748-750-749-757-756-754-755-752-753-751-772-774-775-773</t>
  </si>
  <si>
    <t>ΜΑΥΡΟΜΙΧΕΛΑΚΗ</t>
  </si>
  <si>
    <t>ΑΙ121577</t>
  </si>
  <si>
    <t>757-713-746-749-745-748-750-755-756-716-720-709-752-753-774-718-772-744-786-762-724-777-731-739-738</t>
  </si>
  <si>
    <t>ΠΑΤΣΙΑΛΟΥ</t>
  </si>
  <si>
    <t>ΑΝ627917</t>
  </si>
  <si>
    <t>724-751-750-746-747-713-757-717-714-773-753-756-711-720-721</t>
  </si>
  <si>
    <t>ΖΑΧΑΡΙΑΚΗΣ</t>
  </si>
  <si>
    <t>ΑΖ965089</t>
  </si>
  <si>
    <t>702-709-710-711-712-713-714-717-718-720-721-744-745-746-747-748-749-750-751-752-753-754-755-756-757-773</t>
  </si>
  <si>
    <t>ΚΑΡΒΟΥΝΗΣ</t>
  </si>
  <si>
    <t>ΑΝ300239</t>
  </si>
  <si>
    <t>704-844-734-717-753-733-713-711-751-773-750-721-720-746-747-757-756-762-707-708-727-706-728-714-724-725-760-735-737-736-738-761-785-768-782-775-752-749-755-745-748-718-710-712-702-758-754-719-705-716-723-703-730-774-744-772-778-732-771</t>
  </si>
  <si>
    <t>ΔΑΓΡΑΚΗ</t>
  </si>
  <si>
    <t>ΑΚ538206</t>
  </si>
  <si>
    <t>718-745-748-750-747-746-749-752-757-753-711-754-756-755-744-721-720-773-719-716-751-709-713-714-712-702-774-717-710-775-772</t>
  </si>
  <si>
    <t>ΤΣΟΛΙΑ</t>
  </si>
  <si>
    <t>Χ007649</t>
  </si>
  <si>
    <t>757-755-756-753-752-754-745-748-749-750-746-747-744-751-709-711-702-712-713-714-718-774-772-775-773-720-719-721-717-716</t>
  </si>
  <si>
    <t>ΣΥΛΑΙΔΟΥ</t>
  </si>
  <si>
    <t>ΑΒ212653</t>
  </si>
  <si>
    <t>844-704-706-707-708-711-713-714-717-720-721-724-727-728-733-734-739-741-742-746-747-750-751-753-756-757-762-763-769-770-771-773-776-780-783-784</t>
  </si>
  <si>
    <t>ΛΟΥΚΟΥΤΟΣ</t>
  </si>
  <si>
    <t>ΠΑΝΑΓΙΩΤΗΣ ΖΗΣΗΣ</t>
  </si>
  <si>
    <t>ΑΝ641328</t>
  </si>
  <si>
    <t>749-754-741-753-720-751-712-718-719-757-750-752-702-709-711-744-721-714-717-713-774-787-739</t>
  </si>
  <si>
    <t>ΜΑΝΟΥΣΟΥ</t>
  </si>
  <si>
    <t>ΑΗ219261</t>
  </si>
  <si>
    <t>704-844-784-762-733-734-746-747-757-756-750-751-753-773-711-713-714-720-721</t>
  </si>
  <si>
    <t>Δ (702)</t>
  </si>
  <si>
    <t>ΝΕΝΝΕ</t>
  </si>
  <si>
    <t>ΑΙ942175</t>
  </si>
  <si>
    <t>711-713-714-717-720-721-746-747-750-751-753-756-757-773-702-709-710-712-716-718-719-744-745-748-749-752-754-755-774-775</t>
  </si>
  <si>
    <t>ΚΟΥΚΟΥΡΑ</t>
  </si>
  <si>
    <t>ΑΟ085911</t>
  </si>
  <si>
    <t>720-721-775-757-718-716-719-713-747-750-717-773-774-755-756-753-751-752-749-748-746-711</t>
  </si>
  <si>
    <t>ΤΥΡΟΛΟΓΟΣ</t>
  </si>
  <si>
    <t>ΑΙ262926</t>
  </si>
  <si>
    <t>720-721-757-750-746-747-753-751-714-711-773-713-717-756-762-704-724-725-706-707-708</t>
  </si>
  <si>
    <t>ΚΩΣΤΑΡΟΠΟΥΛΟΣ</t>
  </si>
  <si>
    <t>ΑΙ070996</t>
  </si>
  <si>
    <t>713-711-714-717-720-721-773-746-747-750-751-753-757-769-770-781-844-704-741-739</t>
  </si>
  <si>
    <t>ΠΑΠΑΣΤΕΡΓΙΟΥ</t>
  </si>
  <si>
    <t>ΠΕΡΙΣΤΕΡΑ</t>
  </si>
  <si>
    <t>Χ480984</t>
  </si>
  <si>
    <t>768-760-761-733-734-735-736-737-738-740-785-709-710-711-712-713-714-715-716-717-718-719-721-723-724-725-726-727-728-729-744-745-746-747-748-749-750-751-752-753-754-755-756-757</t>
  </si>
  <si>
    <t>ΠΟΥΡΔΑΛΑ</t>
  </si>
  <si>
    <t>ΒΗΚΑ</t>
  </si>
  <si>
    <t>Φ265487</t>
  </si>
  <si>
    <t>768-733-734-735-736-737-738-785-705-706-707-708-724-725-726-727-728-760-762-761-715-709-710-711-712-713-714-716-717-718-719-720-721-744-745-746-747-748-749-750-751-752-753-754-755-756-757-772-773-774-775-702-740-783-784-771-776-703-844-704-729-722-723-758-759-763-764-765-766-741-742-743-739-730-731-732-781-782-779-778-780-777-786-787-769-770</t>
  </si>
  <si>
    <t>ΑΟ121857</t>
  </si>
  <si>
    <t>765-751-720-721-775-709-718-713-714-719-755-757-756-747-746-745-749-748-754-752-750-744-753</t>
  </si>
  <si>
    <t>ΤΡΙΑΝΤΑΦΥΛΛΗ</t>
  </si>
  <si>
    <t>ΑΜ052026</t>
  </si>
  <si>
    <t>718-720-721-773-753-749-719-744-748-745-746-747-755-756-757-709-754-750-751-752-716-775-774-772-710-711-712-713-714-702-771-758-762-715-722-723-707-708-740-760-761-778-768-731-732-777-786-766-729-724-725-726-785-706-764-765-739-741-742-743-763-733-734-735-736-737-738-703-844-704-705-727-728-730-787-759-769-770-779-780-781-782-783-784-767-776</t>
  </si>
  <si>
    <t>ΜΠΑΤΣΙΛΑΣ</t>
  </si>
  <si>
    <t>ΘΕΟΔΩΡΟΣ ΘΕΟΔΟΣΙΟΣ</t>
  </si>
  <si>
    <t>ΑΚ404212</t>
  </si>
  <si>
    <t>733-734-735-736-737-738-760-761-768-786-729-731-770-777-779-780-781-785-702-713-714-715-716-717-718-719-720-721-732-730-739-740-744-745-746-747-748-749-750-758-759-763-769-743-762-751-752-753-754-755-756-757-772-771-773-774-775-776-782-783-784-778-787-708-709-710-711-712-725-726-727-728-764-765-766-767-703-844-704-705-706-707-722-723-724-741-742</t>
  </si>
  <si>
    <t>ΜΑΥΡΟΓΙΑΝΝΗ</t>
  </si>
  <si>
    <t>Χ283333</t>
  </si>
  <si>
    <t>762-757-750-751-746-747-756-713-753-711-714-724-726-720-721-717-844</t>
  </si>
  <si>
    <t>ΒΕΝΕΡΗΣ</t>
  </si>
  <si>
    <t>ΘΕΟΦΙΛΟΣ</t>
  </si>
  <si>
    <t>ΑΙ779235</t>
  </si>
  <si>
    <t>762-704-844-707-708-706-720-721-724-725-711-713-714-717-746-747-750-751-753-773-733-734-756-757</t>
  </si>
  <si>
    <t>ΧΡΗΣΤΙΝΑ</t>
  </si>
  <si>
    <t>Χ068610</t>
  </si>
  <si>
    <t>709-710-711-712-713-716-717-718-719-720-721-745-746-747-748-749-750-751-752-753-754-755-756-757-773-774-775</t>
  </si>
  <si>
    <t>ΒΡΑΤΣΙΣΤΑ</t>
  </si>
  <si>
    <t>ΑΑ969628</t>
  </si>
  <si>
    <t>768-783-784-781-733-734-735-736-737-738-785-718-714-719-709-710-711-712-713-744-745-746-747-748-749-750-751-752-753-754-755-756-757-772-773-774-775-776-702-720-721-716-717-740-708-727-728-706-707-769-725-726-724-778-730-760-761-703-844-704-705-715-762-765-764-758-723-729-743-770-763-779-741-742-739-786-777-780-782-759-766-767-787-731-732-771-722</t>
  </si>
  <si>
    <t>ΚΕΡΑΜΕΑ</t>
  </si>
  <si>
    <t>ΑΗ575154</t>
  </si>
  <si>
    <t>757-710-750-711-751-773-775-755-756-717-714-746-747-720-721-713</t>
  </si>
  <si>
    <t>ΣΙΩΖΟΥ</t>
  </si>
  <si>
    <t>ΑΚ606471</t>
  </si>
  <si>
    <t>714-713-716-717-751-712-711-710-720-721-754-753-755-756-757-750-762-743-744-745-746-747-748-749-764-765-768-771-776-781-778-779-780-766-767-769-758-759-760-761-763</t>
  </si>
  <si>
    <t>ΣΒΕΡΩΝΗ</t>
  </si>
  <si>
    <t>ΑΗ999267</t>
  </si>
  <si>
    <t>705-707-755-762-757-720-721-724-711-713-718-731-732-735-736-737-738-744-750-747-748-749-745-752-754-766-774-775-785-786-723-741-743-770-771-776-778-780-787</t>
  </si>
  <si>
    <t>ΦΥΡΟΓΕΝΗ</t>
  </si>
  <si>
    <t>Χ598979</t>
  </si>
  <si>
    <t>717-720-721-713-750-747-746-711-751-773-757-714-756-753-749-755-744-748-752-745-718-719-716-712-709-754-774-772-775-710-702</t>
  </si>
  <si>
    <t>ΚΕΣΕΚΙΔΗΣ</t>
  </si>
  <si>
    <t>ΑΜ282819</t>
  </si>
  <si>
    <t>734-733-776-721-720-746-747-753-756-717-757-750-751-713-714</t>
  </si>
  <si>
    <t>ΒΛΑΜΗΣ</t>
  </si>
  <si>
    <t>ΑΜ326078</t>
  </si>
  <si>
    <t>721-720-717-751-753-713-773-757-750-746-747-756-714-711</t>
  </si>
  <si>
    <t>Χ478332</t>
  </si>
  <si>
    <t>761-760-768-758-757-756-755-753-754-750-749-748-747-746-745-744-702-718-717-716-710-711-712-713-719-720-721-751-752-773-774-775-714-733-734-735-738-736-737-707-708-709-772-785-786-784-783-776</t>
  </si>
  <si>
    <t>ΚΑΤΣΙΜΕΝΤΕ</t>
  </si>
  <si>
    <t>Χ039845</t>
  </si>
  <si>
    <t>713-717-714-751-750-753-721-720</t>
  </si>
  <si>
    <t>ΜΠΑΡΜΠΙΤΣΑ</t>
  </si>
  <si>
    <t>Φ095727</t>
  </si>
  <si>
    <t>ΔΕΜΙΡΑΛΗ</t>
  </si>
  <si>
    <t>ΑΝ837611</t>
  </si>
  <si>
    <t>787-770-786-739-705-741-782-777-780-732-742-763-769-781-709-710-718-719-733-735-744-745-748-749-752-753-754-756-761-768-772-844-704-706-707-708-711-713-714-717-720-721-724-725-727-728-734-746-747-750-751-757-762-771-773-776-783-784</t>
  </si>
  <si>
    <t>ΚΑΛΟΓΙΑΝΝΙΔΟΥ</t>
  </si>
  <si>
    <t>ΑΙ633631</t>
  </si>
  <si>
    <t>718-719-748-750-753-755-722-774-745-746-747-751-752-716-720-721</t>
  </si>
  <si>
    <t>ΣΑΛΔΗ</t>
  </si>
  <si>
    <t>ΑΜ869650</t>
  </si>
  <si>
    <t>702-703-704-705-706-707-708-709-710-711-712-713-714-715-716-717-718-719-720-721-722-723-724-725-726-727-728-729-730-731-732-733-734-735-736-737-738-739-740-741-742-743-744-745-746-747-748-749-750-751-752-753-754-755-756-757-758-759-760-761-762-763-764-765-766-767-768-769-770-771-772-773-774-775-776-777-778-779-780-781-783-784-785-786-787</t>
  </si>
  <si>
    <t>ΣΤΑΥΡΟΠΟΥΛΟΥ</t>
  </si>
  <si>
    <t>ΑΗ570401</t>
  </si>
  <si>
    <t>757-772-719-773-720-721-756-774-718-753-752-748-747-746-745-749-754-755-750-744-709-702-775</t>
  </si>
  <si>
    <t>ΚΟΝΤΟΓΟΥΝΗ</t>
  </si>
  <si>
    <t>Ρ987445</t>
  </si>
  <si>
    <t>768-726-730-733-735-736-737-738-740-785-760-761-718-702-710-712-709-748-749-745-744-752-755-756-753-754-719-772-775-716-774-705-703-764-765-731-732-766-777-786-706-707-708-724-725-762-844-704-711-713-714-717-720-734-746-747-750-751-757-773-721</t>
  </si>
  <si>
    <t>ΑΡΕΤΗ</t>
  </si>
  <si>
    <t>Χ619432</t>
  </si>
  <si>
    <t>773-753-757-746-747-756-750-713-751-714-711-720-775</t>
  </si>
  <si>
    <t>ΕΥΣΤΡΑΤΙΟΥ</t>
  </si>
  <si>
    <t>ΜΑΡΓΑΡΙΤΑ-ΧΡΙΣΤΙΝΑ</t>
  </si>
  <si>
    <t>ΑΚ395392</t>
  </si>
  <si>
    <t>734-762-747-750-757-707-713-711-708-770-771-776-780-702-703-844-704-705-706-709-710-712-714-768-716-717-718-719-720-721-724-715-722-723-725-726-727-728-729-730-731-732-733-735-736-737-738-739-740-741-742-758-744-745-746-748-749-753-751-752-755-756-754</t>
  </si>
  <si>
    <t>ΧΩΡΑΦΑ</t>
  </si>
  <si>
    <t>Ξ387888</t>
  </si>
  <si>
    <t>ΑΑ091541</t>
  </si>
  <si>
    <t>753-756-757-752-747-746-750-749-745-744-755-754-748-711-712-721-720-714-702-709-710-718-719-713-772-774-775-773</t>
  </si>
  <si>
    <t>ΚΑΝΕΛΛΟΠΟΥΛΟΥ</t>
  </si>
  <si>
    <t>ΚΑΝΕΛΛΟΣ</t>
  </si>
  <si>
    <t>ΑΝ253000</t>
  </si>
  <si>
    <t>705-729-758-659-764-765-703-702-709-710-712-716-718-719-726-744-745-748-749-752-754-755-772-774-775-782-730-735-736-737-738-740-760-761-768-786-787-766-767-743-732-731-723-722-715-844-704-706-707-708-711-713-714-717-720-721-724-725-727-728-733-734-739-741-742-746-747-751-750-753-756-757-762-763-769-770-771-773-776-780-781-783-784</t>
  </si>
  <si>
    <t>ΜΠΟΥΡΛΙΑΚΑ</t>
  </si>
  <si>
    <t>Χ980622</t>
  </si>
  <si>
    <t>768-724-725-760-761-783-784-733-734-730-736-737-738-702-709-710-711-712-713-714-716-717-718-719-720-721-744-745-746-747-748-749-750-751-752-753-754-755-756-757-773-707-708-785-776-727-729-740-758-759-762-781-703-844-704-705-706-715-731-766-777-786-739-741-742-763-765-767-769-770-771-772-774-775-779-780-787-778-722-723</t>
  </si>
  <si>
    <t>ΜΠΙΖΙΟΥΡΗΣ</t>
  </si>
  <si>
    <t>Φ334129</t>
  </si>
  <si>
    <t>768-782-781-727-750-734-760-721-720-775-757-753-751-705-704-738-736-739-741-758-769</t>
  </si>
  <si>
    <t>Δ (767)</t>
  </si>
  <si>
    <t>ΡΑΦΤΕΛΗ</t>
  </si>
  <si>
    <t>ΑΙ910841</t>
  </si>
  <si>
    <t>767-731-732-786-766-726-777-787-725-724-729-758-759-762-768-779-780-785-730-706-707-708-709-710-711-712-713-714-715-702-716-717-718-719-720-721-744-745-746-747-748-749-750-751-752-753-754-755-756-757-772-773-774-775-733-734-735-736-737-738-769-764-765-776-783-784-771-760-761-704-705-844-703-722-723-727-728</t>
  </si>
  <si>
    <t>ΜΕΛΑΝΟΥ</t>
  </si>
  <si>
    <t>ΜΕΝΕΛΑΟΣ</t>
  </si>
  <si>
    <t>ΑΚ010453</t>
  </si>
  <si>
    <t>740-702-720-721-751-752-753-754-755-756-772-773-774-775-744-745-746-747-748-749-750-709-711-712-713</t>
  </si>
  <si>
    <t>ΠΟΛΥΧΡΟΝΙΔΗΣ</t>
  </si>
  <si>
    <t>ΑΚ424308</t>
  </si>
  <si>
    <t>711-713-746-747-750-751-753-756-757-773-714-717-720-721-733-734</t>
  </si>
  <si>
    <t>ΜΑΡΙΚΑ</t>
  </si>
  <si>
    <t>ΑΜ030530</t>
  </si>
  <si>
    <t>773-717-753-757-747-746-751-756-714-750-713-711-720-721-719-718-749-744-748-755-774-775-745-754-752-772-716</t>
  </si>
  <si>
    <t>ΚΩΤΣΙΝΗΣ</t>
  </si>
  <si>
    <t>Χ640379</t>
  </si>
  <si>
    <t>721-720-714-711-713-749-717-718-719-746-747-750-751-753-754-755-756-773-757</t>
  </si>
  <si>
    <t>ΔΡΑΚΟΥΛΑΚΟΥ</t>
  </si>
  <si>
    <t>ΔΡΑΚΟΥΛΗΣ</t>
  </si>
  <si>
    <t>ΑΟ158684</t>
  </si>
  <si>
    <t>719-773-772-774-757-718-749-720-721-747-746</t>
  </si>
  <si>
    <t>Χ118359</t>
  </si>
  <si>
    <t>766-731-720-721</t>
  </si>
  <si>
    <t>ΤΣΟΓΚΑΣ</t>
  </si>
  <si>
    <t>ΑΙ251380</t>
  </si>
  <si>
    <t>735-733-734-736-737-738-760-761-758-844-704-705-762-723-724-725-726-730-740-709-710-711-712-713-714-716-717-718-719-720-721-702-744-745-746-747-748-749-750-751-752-753-754-755-756-757-765-766-767-768-769-770-771-772-773-774-775-776-777-778</t>
  </si>
  <si>
    <t>ΜΠΑΚΟΣΤΕΡΓΙΟΥ</t>
  </si>
  <si>
    <t>Σ985202</t>
  </si>
  <si>
    <t>707-708-783-784-706-727-728-724-725-726-710-711-712-713-716-717-719-720-721-746-747-750-751-753-754-755-756-757-773</t>
  </si>
  <si>
    <t>ΜΠΟΤΣΗ</t>
  </si>
  <si>
    <t>ΑΛΚΕΤΑ</t>
  </si>
  <si>
    <t>ΑΚ558581</t>
  </si>
  <si>
    <t>753-757-747-745-748-746-750-744-755-756-752-754-749-751-713-717-718-709-719-702-772-773-774-775-714-712-711-721-720-710-716-762</t>
  </si>
  <si>
    <t>Δ (780)</t>
  </si>
  <si>
    <t>ΡΟΥΣΣΟΥ</t>
  </si>
  <si>
    <t>ΚΩΝΣΤΑΝΤΙΝΑ ΣΟΦΙΑ</t>
  </si>
  <si>
    <t>ΑΑ469035</t>
  </si>
  <si>
    <t>780-783-784-763-739-741-742-708-721-724-725-706-707-746-747-757-769</t>
  </si>
  <si>
    <t>ΛΑΝΤΖΟΥ</t>
  </si>
  <si>
    <t>ΑΙ846486</t>
  </si>
  <si>
    <t>749-750-747-746-745-756-757-753-751-708-707-773-748-744-755-754-752-720-721-714-719-718-716-717-709-711-712-706-768-724-774-775-772-733-734-735-736-737-738-725-726-727-728-705-760-761-702-783-784-704-844-776-771-781</t>
  </si>
  <si>
    <t>ΣΠΑΘΟΥΛΑ</t>
  </si>
  <si>
    <t>ΑΝ031115</t>
  </si>
  <si>
    <t>706-725-724-707-711-713-844-704-717-714-720-721-734-739-741-746-747-750-751-753-756-757-762-764-763-708-727-728</t>
  </si>
  <si>
    <t>ΜΠΟΥΤΑΣΗ</t>
  </si>
  <si>
    <t>ΧΑΡΙΣΗΣ</t>
  </si>
  <si>
    <t>ΑΜ352667</t>
  </si>
  <si>
    <t>844-704-705-733-734-711-713-714-716-717-720-721-722-724-725-745-746-747-749-750-751-753-756-757-762-773-771-776-783-784-706-707-708-727-728-763-780-781-741-742-739-770</t>
  </si>
  <si>
    <t>ΑΑ035284</t>
  </si>
  <si>
    <t>710-755-756-709-714-713-711-712-716-751-757-718-744-745-746-747-748-749-750-754-753-752-762-726-720-721</t>
  </si>
  <si>
    <t>ΜΠΡΙΑΝΑ</t>
  </si>
  <si>
    <t>ΑΖ285609</t>
  </si>
  <si>
    <t>753-763-711-746-747-750-713-714-720-721-717-773-751-756-757-733-734-704-754-844-706-707-708-724-725-727-762-728-781-709-710-772-774-775-718-719-702-705-737-738-736-735-755-716-722-723-768-780-741-742-739-767-769-770-787-764-765-743-759-758-731-732-786-777-778-766-715-760-761-729-730-740</t>
  </si>
  <si>
    <t>ΚΟΛΟΒΟΣ</t>
  </si>
  <si>
    <t>Χ877894</t>
  </si>
  <si>
    <t>768-733-734-735-736-737-738-709-710-711-712-713-714-745-746-747-748-749-750-751-752-753-754-755-756-757-744-702-716-719-772-773-774-775-717-718-720-721-762-724-725-726-760-706-707-708-783-784-727-728-776-730-844-704-705-703-764-765-715-785-758-740-761-781-778-722-723-771-729-759-786-731-732-777-766-769-780-782-779-787-770-739-741-767-742-763-743</t>
  </si>
  <si>
    <t>ΤΣΟΚΟΛΑ</t>
  </si>
  <si>
    <t>ΑΝ173293</t>
  </si>
  <si>
    <t>721-711-713-714-717-720-746-747-750-751-757-762-773-703</t>
  </si>
  <si>
    <t>ΠΕΤΡΟΥ</t>
  </si>
  <si>
    <t>ΑΑ317646</t>
  </si>
  <si>
    <t>704-844-762-713-751-714-711-757-756-773-750-753-746-747-720-784-783-733-754-725-708-727-728-721</t>
  </si>
  <si>
    <t>ΣΩΤΗΡΟΠΟΥΛΟΥ</t>
  </si>
  <si>
    <t>ΑΒ587044</t>
  </si>
  <si>
    <t>755-756-757-702-747-720-721-717-714-710-712-746</t>
  </si>
  <si>
    <t>ΝΙΚΟΥ</t>
  </si>
  <si>
    <t>ΑΗ765038</t>
  </si>
  <si>
    <t>733-734-735-736-737-738-739-740-741-742-755-756-757-760-761-768-771-773-776-781-785-709-710-711-712-713-714-715-716-717-719-720-721-730</t>
  </si>
  <si>
    <t>ΚΑΠΟΓΙΑΝΝΗ</t>
  </si>
  <si>
    <t>ΠΗΝΕΛΟΠΗ</t>
  </si>
  <si>
    <t>ΑΙ501499</t>
  </si>
  <si>
    <t>709-713-751-711-712-710-757-720-775-721-744-750-718-717-715-716-747-746-702-756-755-752-722-774-745-749-719-773-753-754</t>
  </si>
  <si>
    <t>ΜΗΛΙΟΠΟΥΛΟΣ</t>
  </si>
  <si>
    <t>AΘΑΝΑΣΙΟΣ</t>
  </si>
  <si>
    <t>ΑΗ322211</t>
  </si>
  <si>
    <t>734-733-714-713-711-708-707-706-704-844-746-747-750-751-753-756-757-762-773-717-724-725-727-728-720-721</t>
  </si>
  <si>
    <t>ΤΣΑΜΗ</t>
  </si>
  <si>
    <t>ΑΒ321001</t>
  </si>
  <si>
    <t>716-709-714-713-711-712-744-702-710-717-718-719-720-721-745-746-747-748-749-750-751-752-753-754-755-756-757-772-773-774-775-762-765</t>
  </si>
  <si>
    <t>ΤΕΡΖΟΠΟΥΛΟΥ</t>
  </si>
  <si>
    <t>ΑΙ634599</t>
  </si>
  <si>
    <t>757-773-721-720-711-713-714-717-746-747-750-751-753</t>
  </si>
  <si>
    <t>Τσιάμης</t>
  </si>
  <si>
    <t>Διονύσιος</t>
  </si>
  <si>
    <t xml:space="preserve">Ιωάννης </t>
  </si>
  <si>
    <t>ΑΗ816068</t>
  </si>
  <si>
    <t>ΠΡΕΣΒΕΛΟΥ</t>
  </si>
  <si>
    <t>Φ209275</t>
  </si>
  <si>
    <t>775-718-717-720-721-719-716-773-774-772-746-747-750-751-753-754-757</t>
  </si>
  <si>
    <t>ΑΚ526681</t>
  </si>
  <si>
    <t>755-754-749-718-752-756-719-753-709-702-710-711-712-713-714-716-717-721-720-746-747-750-751-757-774-775-773</t>
  </si>
  <si>
    <t>ΑΗ204684</t>
  </si>
  <si>
    <t>705-704-844-762-703-729-784-783-774-775-773-772-757-756-755-754-753-752-751-750-749-748-747-746-745-744-719-718-717-716-714-713-712-711-710-709-702-721-720-706-707-708-765-764-738-737-736-735-734-733-730-785-759-726-725-724-723-722-786-731-732-766-778-777-761-760</t>
  </si>
  <si>
    <t>ΣΚΡΑΠΑΛΗ</t>
  </si>
  <si>
    <t>ΑΙ885717</t>
  </si>
  <si>
    <t>733-734-739-741-742-746-747-750-751-753-756-757-762-763-769-770-771-773-776-780-781-783-784-702-703-844-704-705-706-707-708-709-710-711-712-713-720-721-724-725-727-728</t>
  </si>
  <si>
    <t>ΜΠΙΝΤΖΟΣ</t>
  </si>
  <si>
    <t>ΑΚ545029</t>
  </si>
  <si>
    <t>702-844-706-707-708-709-711-712-713-714-716-718-719-720-721-724-725-726-727-728-731-732-733-734-735-736-737-738-739-740-741-742-743-744-745-746-747-748-749-750-751-752-753-754-757-758-759-762-763-769-770-772-773-774-775-776-780-781-783-784-785-786-787</t>
  </si>
  <si>
    <t>ΜΑΝΩΛΟΠΟΥΛΟΥ</t>
  </si>
  <si>
    <t>ΑΗ770505</t>
  </si>
  <si>
    <t>738-731-766-732-736-723-749-755-735-785-737-748-752-744-774-775-786-705-718-745-754-787-778-768-777-779-782-743-709-760-761-719-772-733-758-756-702-712-716-753-764-765-703-726-730-715-740-710-722-729-767-734-707-708-724-776-762-771-770-780-739-741-750-757-711-713-720-721-704-844-783-784-706-725-727-728-781-623-769-742-714-717-746-751-773</t>
  </si>
  <si>
    <t>ΞΕΝΟΠΟΥΛΟΥ</t>
  </si>
  <si>
    <t>ΑΜ167318</t>
  </si>
  <si>
    <t>718-719-748-749-752-754-774-709-716-744-745-722-733-735-737-720-721</t>
  </si>
  <si>
    <t>ΩΡΑΙΟΠΟΥΛΟΥ</t>
  </si>
  <si>
    <t>ΑΑ804243</t>
  </si>
  <si>
    <t>702-709-710-711-712-713-714-716-717-718-719-720-721-744-745-746-747-748-749-750-751-752-753-754-755-756-757-773-774-775-776</t>
  </si>
  <si>
    <t>Π045580</t>
  </si>
  <si>
    <t>773-774-775-772-718-720-721-746-753-754-755-719-757-751-752-750-749-748-747-745-744-717-713-711-710-712-709-756</t>
  </si>
  <si>
    <t>ΘΩΜΟΠΟΥΛΟΥ</t>
  </si>
  <si>
    <t>Χ840358</t>
  </si>
  <si>
    <t>710-714-711-712-709-713-744-745-746-747-748-749-750-751-752-753-754-755-756-757-702-773-716-717-718-720-721-774-775-772-719</t>
  </si>
  <si>
    <t>ΠΕΡΒΟΛΑΡΑΚΗΣ</t>
  </si>
  <si>
    <t>ΑΒ180237</t>
  </si>
  <si>
    <t>731-732-766-777-786-702-703-704-705-706-707-708-709-710-711-712-713-714-715-716-717-718-719-720-721-729-738-739-740-741-742-743-758-759-763-767-769-770-771-772-785-787</t>
  </si>
  <si>
    <t>ΑΝΤΩΝΟΠΟΥΛΟΣ</t>
  </si>
  <si>
    <t>ΔΙΑΜΑΝΤΗΣ</t>
  </si>
  <si>
    <t>ΑΟ062788</t>
  </si>
  <si>
    <t>721-720-773-753-751-711-750-757-713-714</t>
  </si>
  <si>
    <t>ΠΡΩΙΟΥ</t>
  </si>
  <si>
    <t>ΕΥΛΑΜΠΙΑ</t>
  </si>
  <si>
    <t>Χ880078</t>
  </si>
  <si>
    <t>733-734-844-704-706-708-707-724-725-739-762-776-780-781-711-713-714-720-721-746-747-750-751-753-756-757</t>
  </si>
  <si>
    <t>ΜΠΟΤΣΙΟΥ</t>
  </si>
  <si>
    <t>ΑΚ880445</t>
  </si>
  <si>
    <t>738-734-735-737-733-736-786-777-731-766-785-706-784-715-730-768-704-705-728-740-724-725-726-727-703-775-757-772-773-717-746-747-755-756-719-713-714-702-716-721-751-752-750-753-744-720-710-711-712-718-774-749-745-748-754-709-765-764-776-707-708-732-771-778-723-722-762-783-844-760-761-779-781-758-729-769-770-780-759-763-787-767-782-741-743-742</t>
  </si>
  <si>
    <t>ΜΠΟΥΤΛΑ</t>
  </si>
  <si>
    <t>ΑΙΚΑΤ</t>
  </si>
  <si>
    <t>ΑΒ515708</t>
  </si>
  <si>
    <t>717-718-773-774-775-772-721-720-719-702-716-709-710-711-712-713-714-744-745-746-747-748-749-750-751-752-753-754-755-756-757-733-734-735-736-737-786-777-766-732-731-726-725-724-703-844-704-705-706-707-708-740-760-761-762-764-765-768</t>
  </si>
  <si>
    <t>ΡΟΥΜΠΙΕ</t>
  </si>
  <si>
    <t>ΑΝ330231</t>
  </si>
  <si>
    <t>768-760-761-733-734-735-736-737-738-776-730-707-708-706-726-725-724-727-728-785-716-709-702-710-711-712-713-714-717-718-719-720-721-744-745-746-747-748-749-750-751-752-753-754-755-756-757-772-773-774-775-783-784-723-740-771-715-722-778-762-704-705-844-703-765-764-781-782-758-759-729-779-763-786-732-731-777-766-769-741-742-787-770-743-767-780-739</t>
  </si>
  <si>
    <t>ΜΑΚΡΙΝΑ</t>
  </si>
  <si>
    <t>ΦΡΑΝΤΖΕΣΚΟΣ</t>
  </si>
  <si>
    <t>ΑΝ542138</t>
  </si>
  <si>
    <t>718-719-775-744-748-752-753-774-745-749-709-755-710-754-750-757-756-773-713-717-720-721-746-747-711-712-714-716-751</t>
  </si>
  <si>
    <t>ΠΑΠΑΒΑΣΙΛΕΙΟΥ</t>
  </si>
  <si>
    <t>Χ290822</t>
  </si>
  <si>
    <t>782-739-770-758-759-763-769-766-777-779-780-781-786-787-741-743-742-731-729-785-767-733-734-735-736-737-738-771-760-761-715-776-727-724-725-726-706-707-708-783-784-730-722-723-764-765-703-844-704-705-728-719-774-772-762-773-757-756-754-702-709-710-711-712-713-714-716-717-718-720-721-744-745-746-747-748-749-750-751-752-753-775-768</t>
  </si>
  <si>
    <t>ΛΑΠΕΑ</t>
  </si>
  <si>
    <t>Φ481518</t>
  </si>
  <si>
    <t>703-764-765-705-702-709-710-712-718-719-744-745-748-749-752-753-754-755-772-774-775-762-704-713-714-717-720-721-746-747-750-751-756-757-773</t>
  </si>
  <si>
    <t>ΔΗΜΗΤΣΑΝΤΗ</t>
  </si>
  <si>
    <t>Σ636917</t>
  </si>
  <si>
    <t>720-721-749-744-750-748-747-753-754</t>
  </si>
  <si>
    <t>ΜΠΑΛΑΝΟΥ</t>
  </si>
  <si>
    <t>Φ332650</t>
  </si>
  <si>
    <t>754-749-768-709-711-713-714-712-718-744-748-751-752-753-717-702-755-756-750-747-746-774-772-757-720-721-745-706-844</t>
  </si>
  <si>
    <t>ΠΑΠΑΡΗΣ</t>
  </si>
  <si>
    <t>ΑΝ568079</t>
  </si>
  <si>
    <t>721-720-775-757-750-756-711-713-702-718-773-774-754-749-772-752-748-755-745-719-744-746-747-751-753-709-712-714-710-717-716</t>
  </si>
  <si>
    <t>ΓΚΑΝΤΟΥΝΑΣ</t>
  </si>
  <si>
    <t>ΑΙ283102</t>
  </si>
  <si>
    <t>733-734-735-736-737-738-760-761-768-785-790-715-772-786-725-726-727-728-729-730-731-732-739-740-758-759-762-763-764-765-766-767-769-770-771-776-777-778-780-781-783-784-787-844-704-705-706-707-708-722-723-724-741-742-743-702-703-709-710-711-712-713-714-716-717-718-719-720-721-744-745-746-747-748-749-750-751-752-753-754-755-756-757-773-774-775</t>
  </si>
  <si>
    <t>ΣΤΑΜΑΤΟΓΙΑΝΝΗΣ</t>
  </si>
  <si>
    <t>ΑΒ209290</t>
  </si>
  <si>
    <t>702-709-710-711-712-713-714-716-717-718-719-720-721-724-725-726-744-745-746-747-748-749-750-751-752-753-754-755-756-757-772-773-774-775</t>
  </si>
  <si>
    <t>ΚΟΥΒΑΡΗ</t>
  </si>
  <si>
    <t>Χ649525</t>
  </si>
  <si>
    <t>753-772-774-755-756-757-749-748-745-702-713-712-711-718-752-750-747-746-754-719-716-751-744-721-709</t>
  </si>
  <si>
    <t>ΤΡΙΑΝΤΗΣ</t>
  </si>
  <si>
    <t>ΑΜ986453</t>
  </si>
  <si>
    <t>720-773-753-721-717-711-756-713-746-747-750-751-757-714</t>
  </si>
  <si>
    <t>ΠΑΣΧΑΛΗ</t>
  </si>
  <si>
    <t>ΑΙ255275</t>
  </si>
  <si>
    <t>734-725-720-721-724-717-714-708-711-713-844-704-706-707-727-729-741-742-739-746-747-750-751-753-756-757-762-763-769-770-771-773-776-780-781-783-784-758-759-760-761-766-768-752-745-748-738-737-736-735-728-731-732-723-722-740-767-782-778-777</t>
  </si>
  <si>
    <t>ΧΡΗΣΤΟΥ</t>
  </si>
  <si>
    <t>ΑΔΑΜΑΝΤΙΑ</t>
  </si>
  <si>
    <t>ΑΜ572844</t>
  </si>
  <si>
    <t>703-762-720-721-757-753-775-717-718-719-744-745-748-749-751-772-773-774-754-752-747-750-746-709-713-712-702-716-756-755-711-710</t>
  </si>
  <si>
    <t>ΑΗ538577</t>
  </si>
  <si>
    <t>713-714-753-711-756-757-746-747-750-751-720</t>
  </si>
  <si>
    <t>ΚΟΥΛΙΑΜΠΑ</t>
  </si>
  <si>
    <t>Χ375636</t>
  </si>
  <si>
    <t>707-708-711-713-714-717-718-719-720-721-731-732-733-735-736-738-744-745-747-748-749-750-752-755-757-766-774-775-786</t>
  </si>
  <si>
    <t>ΦΩΤΟΠΟΥΛΟΥ</t>
  </si>
  <si>
    <t>ΑΚ350399</t>
  </si>
  <si>
    <t>718-752-753-744-749-745-748-755-754-756-709-712-774-772-702-719-775-705-732-731-786-777-735-737-736-738-733-768-767-766-785-716-710-764-765-760-761-726-740-703-758-779-787-729-739-782-759-750-713-711-751-757-714-717-747-746-704-734-721-720-724-725-707-708-784-742-770-771-783-723-715-776-741</t>
  </si>
  <si>
    <t>ΑΛΕΞΟΠΟΥΛΟΥ</t>
  </si>
  <si>
    <t>ΕΡΜΙΟΝΗ</t>
  </si>
  <si>
    <t>Χ915673</t>
  </si>
  <si>
    <t>725-707-708-724-734-733-747-750-757-711-713-720-721-714-717-746-773-751-753-756</t>
  </si>
  <si>
    <t>ΓΕΩΡΓΟΥΛΙΑ</t>
  </si>
  <si>
    <t>ΑΑ816327</t>
  </si>
  <si>
    <t>753-757-711-713-714-717-720-721-746-747-750-724-725-733-739-740</t>
  </si>
  <si>
    <t>ΠΛΟΥΜΙΔΟΥ</t>
  </si>
  <si>
    <t>ΖΑΦΕΙΡΗΣ</t>
  </si>
  <si>
    <t>ΑΖ295892</t>
  </si>
  <si>
    <t>731-732-737-738-736-735-730-734-733-760-761-762-777-785-786-787-782-781-780-770-769-768-767-766-765-764-763-759-758-756-754-753-752-750-749-748-747-746-745-744-743-742-741-740-739-729-726-725-724-721-720-719-718-717-716-714-713-712-711-710-709-702-703-706-707</t>
  </si>
  <si>
    <t>Χ982244</t>
  </si>
  <si>
    <t>754-749-746-747-750-756-757-720-721-711-712-714-717-751-752-748-744-745-755-718-719-709-710-702-716</t>
  </si>
  <si>
    <t>ΝΤΟΚΟ</t>
  </si>
  <si>
    <t>ΕΝΤΡΙ</t>
  </si>
  <si>
    <t>ΣΟΤΙΡ</t>
  </si>
  <si>
    <t>ΑΚ550402</t>
  </si>
  <si>
    <t>717-718-773-751-720-719-721-775-713-744-750-753-746-747-748-745-756-755-752-754</t>
  </si>
  <si>
    <t>ΣΤΑΝΤΖΟΣ</t>
  </si>
  <si>
    <t>ΑΚ765624</t>
  </si>
  <si>
    <t>773-717-720-721-753-757-747-746-751-756-714-750-713-711-719-718-749-744-748-755-774-775-745-754-752-772-716-709-710-712</t>
  </si>
  <si>
    <t>ΜΟΥΤΖΟΥΡΗ</t>
  </si>
  <si>
    <t>Χ436438</t>
  </si>
  <si>
    <t>753-746-773-750-751-713-756-757-711-717-721-720-762-724-725-844-704-733-734-706-707-708-727-728-714</t>
  </si>
  <si>
    <t>ΚΟΥΒΕΛΑΣ</t>
  </si>
  <si>
    <t>ΑΝ871189</t>
  </si>
  <si>
    <t>768-733-734-735-736-737-738-785-702-703-704-705-706-707-708-709-710-711-712-713-714-715-716-717-718-719-720-721-722-723-724-725-726-727-728-729-730-731-732-739-740-741-742-743-744-745-746-747-748-749-750-751-752-753-754-755-756-757-758-759-760-761-762-763-764-765-766-767-771-769-770-772-773-774-775-776-777-778-779-780-781-782-783-784-786-787-844</t>
  </si>
  <si>
    <t>ΡΟΥΜΠΟΥ</t>
  </si>
  <si>
    <t>ΑΙ116476</t>
  </si>
  <si>
    <t>753-720-721-747-750-713-746-717-751-714-749-775-752-744-754-748-718-745-716</t>
  </si>
  <si>
    <t>ΑΒ760553</t>
  </si>
  <si>
    <t>844-704-705-709-710-711-712-713-714-715-716-717-718-719-720-721-727-729-733-734-736-735-737-738-744-745-746-747-748-749-750-751-752-753-754-755-756-757-762-768-772-773-774-775</t>
  </si>
  <si>
    <t>ΑΙΜΙΛΙΟΣ</t>
  </si>
  <si>
    <t>ΑΙ095230</t>
  </si>
  <si>
    <t>751-713-714-709-710-711-712-720-721-744-745-746-747-748-749-750-752-753-754-755-756-757-719-717-716-773-772-774-775-702</t>
  </si>
  <si>
    <t>ΤΖΙΑΝΑΒΑ</t>
  </si>
  <si>
    <t>ΣΟΥΓΙΟΥΛΤΖΗΣ</t>
  </si>
  <si>
    <t>ΑΖ120984</t>
  </si>
  <si>
    <t>754-749-748-745-712-713-752-753-709-750-747-702-718-716-719-774-714-772-773-717-721-720-775</t>
  </si>
  <si>
    <t>ΙΩΑΚΕΙΜΙΔΗ</t>
  </si>
  <si>
    <t>ΑΟ169380</t>
  </si>
  <si>
    <t>774-773-772-756-719-755-754-753-750-749-748-747-746-745-744-721-720-751-752-718-713-714-709</t>
  </si>
  <si>
    <t>ΔΕΡΤΙΛΗ</t>
  </si>
  <si>
    <t>ΑΙ656048</t>
  </si>
  <si>
    <t>711-713-714-747-720-746-717-750-721-751-753-773-756-757-709-710-712-718-716-719-744-745-748-749-754-752-755-772-774-775</t>
  </si>
  <si>
    <t>ΜΑΓΚΑΦΑ</t>
  </si>
  <si>
    <t>ΑΗ231108</t>
  </si>
  <si>
    <t>753-750-746-747-756-757-773-751-713-711-714-720-721</t>
  </si>
  <si>
    <t>ΨΑΡΡΑΣ</t>
  </si>
  <si>
    <t>Σ196181</t>
  </si>
  <si>
    <t>713-712-714-720-746-751-757-762</t>
  </si>
  <si>
    <t>ΣΙΟΥΤΗ</t>
  </si>
  <si>
    <t>ΑΖ609629</t>
  </si>
  <si>
    <t>753-755-756-745-748-749-774-720-721-757-718-772-754-750-752-713-719-746-747-773-702-710-711-712-714-751-716-717</t>
  </si>
  <si>
    <t>ΦΟΥΤΣΙΑ</t>
  </si>
  <si>
    <t>ΙΟΥΛΙΑ</t>
  </si>
  <si>
    <t>ΑΝ327978</t>
  </si>
  <si>
    <t>777-767-766-740-768-731-732-728-725-724-786-785-784-726-783-787-782-781-780-779-778-776-775-774-773-772-771-770-769-765-764-763-762-761-760-759-758-757-756-755-754-753-752-751-750-749-748-747-746-743-742-741-739-738-737-736-735-734-733-730-729-727-723-722-721-720-719-718-717-716-715-714-713-712-711-710-709-708-707-706-705-704-844-703-702</t>
  </si>
  <si>
    <t>ΚΑΛΗΝΔΕΡΗ</t>
  </si>
  <si>
    <t>ΑΖ804697</t>
  </si>
  <si>
    <t>717-751-746-747-750-753-756-757-713-711-773-720-721-702-709-712-716-718-719-744-745-748-749-752-754-772-774-775</t>
  </si>
  <si>
    <t>ΑΝ871235</t>
  </si>
  <si>
    <t>757-769-781-782-753-721-751-775-752-748-747-713-712-720-714-710-742-741</t>
  </si>
  <si>
    <t>ΘΩΜΑΗ</t>
  </si>
  <si>
    <t>ΑΕ996325</t>
  </si>
  <si>
    <t>768-706-726-724-725-708-707-744-748-746-747-745-718-716-711-712-710-709-702-757-749-750-754-752-755-756-772-774-773-753-751-713-714-736-737-735-734-733-738-719-720-721-785-786-764-765-705-704</t>
  </si>
  <si>
    <t>ΑΖ395107</t>
  </si>
  <si>
    <t>715-734-733-724-725-706-707-708-773-746-747-750-751-753-756-757-713-714-717-720-721-762-735-736-737-738-740-741-742-771-772-774-775-776-777-778-783-784-785-786-787-769-770-780-781-739-743-727-728-730-731-732-760-761</t>
  </si>
  <si>
    <t>ΑΛΜΠΑΝΗ</t>
  </si>
  <si>
    <t>ΚΡΥΣΤΑΛΩ</t>
  </si>
  <si>
    <t>ΑΜ149309</t>
  </si>
  <si>
    <t>709-702-710-711-712-713-714-716-717-718-719-720-721-744-745-746-747-748-749-750-751-752-753-754-755-756-757-773-774-775-772-767-733-734-735-736-737-738-785</t>
  </si>
  <si>
    <t>ΜΟΥΣΚΑΣ</t>
  </si>
  <si>
    <t>Φ084894</t>
  </si>
  <si>
    <t>709-775-718-744-752-745-754-749-753-719-774-717-773-714-713-716-720-711-712-750-751-757-702-706-708-768</t>
  </si>
  <si>
    <t>Σ846081</t>
  </si>
  <si>
    <t>705-704-844-703-764-765-762-729-702-709-710-711-712-713-714-716-717-718-720-721-744-745-746-747-748-749-750-751-752-753-754-755-756-757-772-773-774-719-775-783-784-706-707-708-724-725-726-727-728-730-740-768-771-776-760-761-733-734-735-736-737-738-785-778-715-722-723-731-732-766-777-786-739-741-742-743-758-759-763-767-769-770-779-780-781-782-787</t>
  </si>
  <si>
    <t>ΚΑΤΙΝΑ</t>
  </si>
  <si>
    <t>ΑΒ387325</t>
  </si>
  <si>
    <t>704-705-844-708-709-710-711-712-713-714-716-717-718-719-720-721-724-725-726-730-744-745-746-747-748-749-750-751-752-753-754-755-756-757-762-764-765-768-773-774-775-706-707-703-702-777-785-787-731-732-766</t>
  </si>
  <si>
    <t>ΑΖ613168</t>
  </si>
  <si>
    <t>753-756-720-755-718-709-749-747-754-748</t>
  </si>
  <si>
    <t>ΚΙΟΥΣΗ</t>
  </si>
  <si>
    <t>ΑΗ486286</t>
  </si>
  <si>
    <t>749-711-710-755-756-753-746-752-744-745-748-750-713-712-709-702-714-716-717-718-719-720-721-751-747-754-757-773-774-775-772-704-705-844-725-726-724-762-768-781-706-707</t>
  </si>
  <si>
    <t>ΖΗΣΑΡΟΣ</t>
  </si>
  <si>
    <t>ΑΙ283546</t>
  </si>
  <si>
    <t>706-707-708-715-722-723-724-725-726-727-728-729-730-731-732-740-758-759-760-761-762-764-765-766-768-771-776-777-778-783-784-785-786-702-703-844-704-705-709-710-711-712-713-714-716-717-718-719-720-721-733-734-735-736-737-738-743-744-745-746-747-748-749-750-751-752-753-754-755-756-757-772-773-774-775-787-782-781-780-779-770-769-767-763-739-741-742</t>
  </si>
  <si>
    <t>ΤΣΙΟΥΤΣΙΑΣ</t>
  </si>
  <si>
    <t>ΑΜ209435</t>
  </si>
  <si>
    <t>717-714-750-746-747-713-757-773-721-720-753</t>
  </si>
  <si>
    <t>ΖΑΡΚΑΛΗ</t>
  </si>
  <si>
    <t>ΑΟ388405</t>
  </si>
  <si>
    <t>730-776-760-761-785-733-734-735-736-737-738-740-715-722-723-778-768-773-762-759-706-707-708-704-705-844-703-727-728-764-767-783-784-777-786-729-724-725-726-731-732-769-787-779-782-780-781-763-766-770-743-741-739-742-702-709-710-711-712-713-714-719-772-774-775-744-745-746-747-748-749-750-751-752-753-754-755-756-757-717-716-718-720-721-771-758</t>
  </si>
  <si>
    <t>ΔΗΜΟΛΕΑ</t>
  </si>
  <si>
    <t>ΦΛΩΡΙΑΝ</t>
  </si>
  <si>
    <t>ΝΑΠΟΛΕΩΝ</t>
  </si>
  <si>
    <t>ΑΚ820616</t>
  </si>
  <si>
    <t>713-715-746-747-750-751-757-753-756-773-714-711-702-720-721-744-745-718-709-710</t>
  </si>
  <si>
    <t>ΑΚ392241</t>
  </si>
  <si>
    <t>719-718-720-733-734-735-736-737-738-744-746-745-747-748-749-750-751-752-753-755-756-757-758-772-775-774-779-782</t>
  </si>
  <si>
    <t>ΓΚΟΥΛΙΟΥΜΗ</t>
  </si>
  <si>
    <t>ΑΒ413621</t>
  </si>
  <si>
    <t>756-704-713-746-721-734-733-720-747-750-751-753-757-773-711-706-707-708-714-717-724-725-727-728</t>
  </si>
  <si>
    <t>ΤΑΤΑ</t>
  </si>
  <si>
    <t>ΑΚ799490</t>
  </si>
  <si>
    <t>744-745-746-747-748-749-750-751-752-753-754-755-756-757-702-709-710-711-712-713-714-716-717-718-720-721-773</t>
  </si>
  <si>
    <t>Δ (729)</t>
  </si>
  <si>
    <t>ΓΟΓΟΛΟΣ</t>
  </si>
  <si>
    <t>ΑΒ409467</t>
  </si>
  <si>
    <t>729-759-758-702-760-761-730-762-764-765-768-776-785-778-771-733-734-735-736-737-738-739-740-727-728-726-703-704-705-706-707-708-709-710-711-712-713-714-715-716-717-718-719-720-721-722-723-724-725-731-732-741-844-742-743-744-745-746-747-748-749-750-751-752-753-754-755-756-757-763-766-767-769-770-772-773-774-775-777-779-780-781-782-783-784-786-787</t>
  </si>
  <si>
    <t>ΑΑ432202</t>
  </si>
  <si>
    <t>768-702-703-844-704-705-706-707-708-709-710-711-712-713-714-715-716-717-718-719-720-721-722-723-724-725-726-727-728-729-730-731-732-733-734-735-736-737-738-739-740-741-742-743-744-745-746-647-748-749-750-751-752-753-754-755-756-757-760-761-762-764-765-772-773-774-775-776-781-783-784-786-785</t>
  </si>
  <si>
    <t>ΑΚ035216</t>
  </si>
  <si>
    <t>702-709-710-711-712-713-714-716-717-718-719-720-721-744-745-746-747-748-749-750-751-752-753-754-755-756-757-772-773-774-775</t>
  </si>
  <si>
    <t>ΜΠΡΑΤΑΚΟΣ</t>
  </si>
  <si>
    <t>ΑΖ591501</t>
  </si>
  <si>
    <t>721-720-753-775-757-714-748</t>
  </si>
  <si>
    <t>ΧΡΙΣΤΑΚΗΣ</t>
  </si>
  <si>
    <t>Τ479744</t>
  </si>
  <si>
    <t>768-706-708-707-702-711-712-710-709-713-714-745-746-747-752-749-754-756-748-755-718-720-721-703-762-704-705-738-737-734-735-736-733-740-731-732-786-777</t>
  </si>
  <si>
    <t>ΠΑΡΑΣΧΑΚΗ</t>
  </si>
  <si>
    <t>ΑΜ024680</t>
  </si>
  <si>
    <t>718-746-747-748-749-750-751-752-753-744-745-720-721-713-711-712-710-709-755-756-757-754-775-774-773-772-717-716-714-702-782-781-769-762-743-740-726-725-724-729-733-734-735-736-737-738-786-777-732-731-759-758-766-764-768-770-779-785-719-727-728-722-723-715-707-708-703-704-705-706-760-761-763-765-767-771-776-778-780-783-784-787-741-742-739-730</t>
  </si>
  <si>
    <t>ΜΠΑΟΥΡΔΑ</t>
  </si>
  <si>
    <t>ΑΝΑΣΤΑΣΙΑ - ΜΑΡΙΑ</t>
  </si>
  <si>
    <t>Φ005186</t>
  </si>
  <si>
    <t>702-703-844-704-705-706-707-708-709-710-711-712-713-714-715-716-717-718-719-720-721-722-723-724-725-726-727-728-729-730-731-732-733-734-735-736-737-738-739-740-741-742-743-744-745-746-747-748-749-750-751-752-753-754-755-756-757-758-759-760-761-762-763-764-765-766-767-768-769-770-776-771-772-773-774-775-777-778-779-780-781-782-783-784-785-786-787</t>
  </si>
  <si>
    <t>ΤΣΟΛΕΡΙΔΗ</t>
  </si>
  <si>
    <t>ΑΗ740575</t>
  </si>
  <si>
    <t>758-760-761-733-734-735-736-737-738-740-730-785-715-768-776-844-704-705-772-773-774-775-744-745-746-747-748-749-750-751-752-753-754-755-756-757-702-709-710-711-712-713-714-716-717-718-719-720-721-706-707-708-724-725-726-722-723-727-728-762-764-765-783-784-771-778-729-731-732-786-777-766-779-759-781-782-770-741-742-743-763-767-769-739-780-787</t>
  </si>
  <si>
    <t>ΞΥΡΙΔΑ</t>
  </si>
  <si>
    <t>ΑΕ068626</t>
  </si>
  <si>
    <t>748-746-747-744-745-750-749-752-754-757-755-756-702-720-721</t>
  </si>
  <si>
    <t>ΧΡΙΒΑΤΙΔΗΣ</t>
  </si>
  <si>
    <t>ΑΕ126080</t>
  </si>
  <si>
    <t>734-707-708-724-711-713-720-721-747-750-757-762-706-725-844-704-714-746-751-753-756-773-776-783-771-784-727-760-761-730-735-736-737-738-785-768-726-740-778-723-722-715-705-709-710-712-716-718-744-748-749-745-752-754-755-758-731-732-764-765</t>
  </si>
  <si>
    <t>ΤΣΙΑΡΗ</t>
  </si>
  <si>
    <t>ΜΑΝΘΟΣ</t>
  </si>
  <si>
    <t>ΑΒ307308</t>
  </si>
  <si>
    <t>710-713-712-717-720-734-736-737-738-746-744-745-747-748-749-750-751-752-753-755-756-758-773-774</t>
  </si>
  <si>
    <t>ΚΑΤΣΙΝΕΛΟΣ</t>
  </si>
  <si>
    <t>ΛΟΥΚΑΣ</t>
  </si>
  <si>
    <t>Φ339198</t>
  </si>
  <si>
    <t>709-711-712-713-714-716-718-744-745-746-747-748-749-751-752-753-754-755-756-757-772-773-774-775-702-717-719-720-721-710-706-707-708</t>
  </si>
  <si>
    <t>ΠΑΝΑΓΙΑΡΗ</t>
  </si>
  <si>
    <t>ΑΙ488275</t>
  </si>
  <si>
    <t>773-720-721-717-753-757-756-751-750-747-746-714-713-711</t>
  </si>
  <si>
    <t>ΜΙΧΑΛΑΤΟΥ</t>
  </si>
  <si>
    <t>ΚΩΝΣΤΑΝΤΙΝΑ ΕΛΙΣΣΑΒΕ</t>
  </si>
  <si>
    <t>ΑΜ623974</t>
  </si>
  <si>
    <t>786-731-732-766-785-724-734-736-737-738-705-762-745-720-721-711-718-749-748-755-754-752-757-750-774-775-776-744-708-713-741-743-770-780-787-771</t>
  </si>
  <si>
    <t>ΚΟΜΠΟΓΙΑΝΝΗΣ</t>
  </si>
  <si>
    <t>ΑΙ868858</t>
  </si>
  <si>
    <t>768-781-777-786-731-732-726-724-725-728-727-734-733-735-736-737-738-760-761-730-783-784-776-785-740-704-705-706-707-708-762-764-765-766-758-759-729-703-844-769-723-722-771-770-778-715-717-718-716-714-713-712-710-709-702-774-772-711-749-748-747-746-744-745-750-752-755-756-757-754-753-751-779-775-763-739-741-719-787-780-720-721-742-743-773-767</t>
  </si>
  <si>
    <t>ΙΑΚΩΒΟΥ</t>
  </si>
  <si>
    <t>ΑΜ428960</t>
  </si>
  <si>
    <t>733-734-735-736-737-738-740-785-702-703-844-704-705-706-707-708-709-710-711-712-713-714-716-717-718-719-720-721-724-725-726-730-731-732-744-745-746-747-748-749-750-751-752-753-754-755-756-757-760-762-764-765-766-768-772-773-774-775-777-786</t>
  </si>
  <si>
    <t>ΧΑΤΖΗΔΗΜΗΤΡΙΟΥ</t>
  </si>
  <si>
    <t>ΑΡΙΣΤΟΜΕΝΗΣ</t>
  </si>
  <si>
    <t>ΑΖ890645</t>
  </si>
  <si>
    <t>702-703-844-704-705-706-707-708-709-710-711-712-713-714-715-716-717-718-719-720-721-722-723-724-725-726-727-728-729-730-731-732-733-734-735-736-737-738-739-740-741-742-743-744-745-746-747-748-749-750-751-752-753-754-755-756-757-758-759-760-763-764-765-766-767-768-769-770-771-772-773-774-775-776-777-778-779-780-781-782-783-784-785-786-787</t>
  </si>
  <si>
    <t>ΜΠΟΥΖΑΝΗ</t>
  </si>
  <si>
    <t>ΑΑ311697</t>
  </si>
  <si>
    <t>749-754-755-752-744-748-745-709-756-757-750-713-753-747-746-775-774-718-772-719-712-711-710-714-751-720-721-717</t>
  </si>
  <si>
    <t>ΣΚΑΡΤΑΔΟΥ</t>
  </si>
  <si>
    <t>ΑΕ453357</t>
  </si>
  <si>
    <t>741-742-763-779-743-739-780-711-713-714-720-721-746-747-751-750-753-756-757-773</t>
  </si>
  <si>
    <t>ΓΚΟΥΝΤΕΛΙΤΣΑ</t>
  </si>
  <si>
    <t>ΑΗ770785</t>
  </si>
  <si>
    <t>716-709-752-711-713-714-717-720-721-746-747-750-751-757</t>
  </si>
  <si>
    <t>ΑΜ593910</t>
  </si>
  <si>
    <t>720-721-775-742</t>
  </si>
  <si>
    <t>ΠΕΡΙΧΑΡΟΥ</t>
  </si>
  <si>
    <t>Χ030932</t>
  </si>
  <si>
    <t>751-713-746-747-755-756-709-750-757-754-753-752-749-748-745-744-721-720-714-718-719-773-774-775-772-716-717-710-711-712-702-724-725-726-762-708-786-777-732-731-706-707-766-844-704-705-765-764-734-733-736-737-738-735-768-785-740-703-730-761-760</t>
  </si>
  <si>
    <t>ΑΙ258122</t>
  </si>
  <si>
    <t>734-707-708-711-713-720-721-724-747-750-757-762-715-741-742-770-771-776-780</t>
  </si>
  <si>
    <t>ΠΑΠΑΔΟΥΛΗΣ</t>
  </si>
  <si>
    <t>ΑΑ391112</t>
  </si>
  <si>
    <t>713-720-714-717-721-746-747-750-751-753-756-757-706-707-708-733-734-776-762-784-727-771-781-763</t>
  </si>
  <si>
    <t>ΑΒ070767</t>
  </si>
  <si>
    <t>704-705-844-708-709-710-711-712-713-714-716-717-718-719-720-721-724-725-726-730-744-745-746-749-750-751-752-753-754-755-756-757-762-764-765-768-773-774-775-706-707-703-702-777-785-787</t>
  </si>
  <si>
    <t>ΔΗΜΟΠΟΥΛΟΣ</t>
  </si>
  <si>
    <t>ΑΝ486741</t>
  </si>
  <si>
    <t>711-746-747-750-751-753-757-713-714-773-756-717-720-721-734-733-704-844-762-724-725-727-783-784-708-707-706-728-781-776-771-770-780-769-763-739-742-741</t>
  </si>
  <si>
    <t>ΚΟΛΑ</t>
  </si>
  <si>
    <t>ΕΛΣΑ</t>
  </si>
  <si>
    <t>ΑΝ276894</t>
  </si>
  <si>
    <t>720-721-722-709-710-711-712-713-714-715-716-717-718-719-751-752-753-754-755-756-757-703-844-704-705-706-707-708-725-726-727-728-729-730-731-732-733-734-735-736-737-738-739-740-741-742-743-744-745-746-747-748-749-758-759-760-761-762-763-764-765-766-767-770-771-772-774-775-778-779-780-781</t>
  </si>
  <si>
    <t>ΤΣΑΚΩΝΗ</t>
  </si>
  <si>
    <t>ΑΙ642424</t>
  </si>
  <si>
    <t>ΚΟΥΡΟΥΓΕΩΡΓΑΚΗ</t>
  </si>
  <si>
    <t>ΑΟ394652</t>
  </si>
  <si>
    <t>734-733-771-776-844-704-706-707-708-711-713-714-717-720-721-724-725-727-728-739-741-742-746-747-750-751-753-756-757-762-763-769-770-773-780-781-783-784-736-737-738-740-743-744-745-748-749-752-754-755-758-759-760-761-764-765-766-767-768-772-774-775-777-778-779-782-785-786-787-731-732-730-735-726-729-722-723-715-716-718-719-709-710-712-705-702-703</t>
  </si>
  <si>
    <t>ΚΟΥΤΣΙΟΥΛΗ</t>
  </si>
  <si>
    <t>ΑΒ265034</t>
  </si>
  <si>
    <t>702-721-720-757-754-749-750-744-746-747-713-751-717-775-753-752-748-745-756-755</t>
  </si>
  <si>
    <t>ΖΩΓΑ</t>
  </si>
  <si>
    <t>ΑΒ736514</t>
  </si>
  <si>
    <t>735-733-737-761-768-709-710-718-719-744-745-748-749-752-753-754-756-772-705-786-777-732-787-734-736-738-785-740-730-760-776-778-722-723-771-715-706-707-708-724-725-726-727-728-783-784-702-711-712-713-714-716-717-720-721-746-747-750-751-755-757-773-774-775-703-844-704-762-764-765-731-766-782-781-780-779-770-769-767-763-759-758-743-742-741-739-729</t>
  </si>
  <si>
    <t>ΜΟΥΡΤΖΑΚΗΣ</t>
  </si>
  <si>
    <t>ΑΕ156799</t>
  </si>
  <si>
    <t>714-721-720-709-711-712-749-754-717-757-713-775</t>
  </si>
  <si>
    <t>ΚΟΥΣΕΡΗ</t>
  </si>
  <si>
    <t>Τ305784</t>
  </si>
  <si>
    <t>725-724-721-720-717-714-713-711-708-707-706-746-747-750-751-753-757-762-773-844-704-733-734</t>
  </si>
  <si>
    <t>ΜΗΛΙΩΤΗ</t>
  </si>
  <si>
    <t>ΑΒ399733</t>
  </si>
  <si>
    <t>762-749-755-754-748-752-774-775-702-709-714-710-711-712-713-716-717-718-719-720-721-744-745-746-747-750-751-753-756-757-772-773-703-705-764-765-844-704-707-706-708-726-724-725-730-735-738-736-737-733-734-740-761-760-768-785-766-777-786</t>
  </si>
  <si>
    <t>ΑΒ321336</t>
  </si>
  <si>
    <t>717-721-722-757-751-756-750-763-713-714</t>
  </si>
  <si>
    <t>ΜΗΛΑΣ</t>
  </si>
  <si>
    <t>ΑΚ636758</t>
  </si>
  <si>
    <t>709-720-721-714-712-711-717-710-713-749-718-746-747-750-748-745-744-751-752-753-754-755-756-775</t>
  </si>
  <si>
    <t>ΚΟΤΤΑΣ</t>
  </si>
  <si>
    <t>ΑΕ288008</t>
  </si>
  <si>
    <t>704-713-720-721-753-751-750-747-757-706</t>
  </si>
  <si>
    <t>ΦΑΚΙΩΛΑΚΗ</t>
  </si>
  <si>
    <t>ΑΑ374586</t>
  </si>
  <si>
    <t>746-747-757-753-744-750-745-748-755-756-749-751-752-713-714-702-709-773-775-774-710-711-712-718-754-720-721-717</t>
  </si>
  <si>
    <t>ΤΡΙΜΙΝΤΖΙΟΥ</t>
  </si>
  <si>
    <t>ΑΒ249895</t>
  </si>
  <si>
    <t>713-714-720-721-709-710-711-712-716-717-718-702-707</t>
  </si>
  <si>
    <t>ΜΗΤΡΟΥ</t>
  </si>
  <si>
    <t>ΑΙ950757</t>
  </si>
  <si>
    <t>732-721-720-710-779</t>
  </si>
  <si>
    <t>ΜΗΤΣΑΝΗΣ</t>
  </si>
  <si>
    <t>Χ328845</t>
  </si>
  <si>
    <t>713-721-757-750-747-720-711</t>
  </si>
  <si>
    <t>ΚΩΝΣΤΑΝΤΙΝΟΥ</t>
  </si>
  <si>
    <t>ΛΕΩΝΙΔΑ</t>
  </si>
  <si>
    <t>Σ584201</t>
  </si>
  <si>
    <t>702-703-709-710-711-712-713-714-716-717-718-719-720-721-744-745-746-747-748-749-750-751-752-753-754-755-756-757-772-773-774-775</t>
  </si>
  <si>
    <t>ΚΟΥΤΑΝΤΟΥ</t>
  </si>
  <si>
    <t>ΑΜ117942</t>
  </si>
  <si>
    <t>756-746-747-750-757-753-711-751-713-714-717-720-721</t>
  </si>
  <si>
    <t>ΛΙΒΙΤΣΑΝΟΣ</t>
  </si>
  <si>
    <t>ΑΕ630821</t>
  </si>
  <si>
    <t>714-709-713-710-711-712-717-718-716-720-721-744-749-746-747-745-748-750-751-752-753-754-756-757-772-773-774-702-703-779-728-729-731-732-733-734-735-736-737-768-769-770-775-776-778-780-781-782-783-784-785-786-787</t>
  </si>
  <si>
    <t>ΠΑΠΑΝΙΚΟΛΑΟΥ</t>
  </si>
  <si>
    <t>ΑΜ701173</t>
  </si>
  <si>
    <t>737-734-735-733-736-785-730-776-740-771-760-761-768-727-728-706-707-708-702-709-710-711-712-713-714-716-717-718-720-721-744-743-746-747-748-749-750-751-752-753-754-755-756-757-719-774-775-772-703-704-705-722-723-724-725-726-729-731-732-739-741-742-758-759-762-763-764-765-766-767-769-770-777-778-779-780-781-782-783-784-786-787</t>
  </si>
  <si>
    <t>ΘΩΜΑΙΔΗΣ</t>
  </si>
  <si>
    <t>ΕΥΑΓΓΕΛΟΣ - ΕΚΤΩΡΑΣ</t>
  </si>
  <si>
    <t>ΑΜ491472</t>
  </si>
  <si>
    <t>724-725-713-753-711-756-746-747-750-751-720-721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</si>
  <si>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</si>
  <si>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</si>
  <si>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</si>
  <si>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</si>
  <si>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</si>
  <si>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</si>
  <si>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</si>
  <si>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</si>
  <si>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</si>
  <si>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</si>
  <si>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</si>
  <si>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</si>
  <si>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</si>
  <si>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</si>
  <si>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</si>
  <si>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</si>
  <si>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</si>
  <si>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ΚΟΡΟΛΗ</t>
  </si>
  <si>
    <t>ΑΝΑΣΤΑΣΙΑ ΜΑΡΙΑ</t>
  </si>
  <si>
    <t>ΑΕ731012</t>
  </si>
  <si>
    <t>703-702-709-710-711-712-713-714-716-717-718-719-720-721-744-745-746-747-748-749-750-751-752-753-754-755-756-757-762-764-765-772-773-774</t>
  </si>
  <si>
    <t>ΞΥΓΚΑΚΗ</t>
  </si>
  <si>
    <t>ΑΙ114358</t>
  </si>
  <si>
    <t>756-747-720</t>
  </si>
  <si>
    <t>ΜΑΝΤΖΟΥΡΑΝΗ</t>
  </si>
  <si>
    <t>ΑΚ228517</t>
  </si>
  <si>
    <t>749-747-745-744-754-718-713-748-755-720-721-775-774-750-752-757-711-702-710-716-719-746-753-756-772-751-717-714-709-712-762-707</t>
  </si>
  <si>
    <t>ΑΙ609647</t>
  </si>
  <si>
    <t>752-702-748-746-747-745-739-742-741-769-770-774-782-787-712-713-711-709-844-704-705-706-707-703-708-714-715-716-718-719-720-721-722-723-724-725-726-727-738-736-737-744-743-750-751-763-767-768-781-780</t>
  </si>
  <si>
    <t>Χ696801</t>
  </si>
  <si>
    <t>753-746-747-757-755-756-748-749-754-750-745-744-718-713-752-772-773-774-719-751-710-709-702-711-712-714-716-717-720-721-762-724-725-726-707-708-703-706-844-704-705-727-728-765-783-784-768-764-760-761-730-733-734-735-736-737-738-776-785-740-715-771-778-723-722-782-769-781-729-759-758-787-767-780-786-777-766-731-732-770-739-763-741-742-743</t>
  </si>
  <si>
    <t>ΜΠΙΚΟΥ</t>
  </si>
  <si>
    <t>ΑΒ784411</t>
  </si>
  <si>
    <t>762-717-747-746-756-713-750-757-773-751-753-711-714-721-720-716-718-719-774-772-755-752-748-749-745-744-754-712-709-710-703</t>
  </si>
  <si>
    <t>ΛΥΚΟΥΔΗ</t>
  </si>
  <si>
    <t>Χ705342</t>
  </si>
  <si>
    <t>773-718-719-716-753-757-751-713-721-774-711-712</t>
  </si>
  <si>
    <t>ΤΡΙΑΝΤΑΦΥΛΛΟΥ</t>
  </si>
  <si>
    <t>ΑΗ049546</t>
  </si>
  <si>
    <t>720-721-773-746-747-750-751-753-756-757-711-713-717-714-718-719-709-749-748-744-745-752-754-755-702-710-712-716</t>
  </si>
  <si>
    <t>ΔΑΚΟΥΚΗ</t>
  </si>
  <si>
    <t>ΑΕ769016</t>
  </si>
  <si>
    <t>733-734-727-728-776-707-708-751-711-713-714-717-720-721-746-747-750-753-756-757-773-771-724-725-762-704-706-844-783-784-781-770-769-780-739-741-742-763</t>
  </si>
  <si>
    <t>ΣΑΡΗΓΙΑΝΝΙΔΟΥ</t>
  </si>
  <si>
    <t>ΑΜ869954</t>
  </si>
  <si>
    <t>746-747-750-751-753-756-757-773-721-720-717-714-713-711</t>
  </si>
  <si>
    <t>ΚΛΕΙΣΙΑΡΗ</t>
  </si>
  <si>
    <t>ΑΒ437467</t>
  </si>
  <si>
    <t>760-761-733-734-735-736-737-738-739-785-740-771-776-715-768-724-725-726-701-702-709-710-711-712-713-714-716-717-718-719-720-721-744-745-746-747-748-749-750-751-752-753-754-755-756-757-772-773-774-775-703-705-706-707-708-727-728-762-764-765-783-784-722-723-778-729-731-732-741-742-743-758-759-763-766-767-769-770-777</t>
  </si>
  <si>
    <t>ΓΕΡΑΣΟΠΟΥΛΟΥ</t>
  </si>
  <si>
    <t>Φ086382</t>
  </si>
  <si>
    <t>721-720-753-757-717-746-747-750-751-713-711-773-714-756-762-724-725-733-734-706-704-707-708-844-784-783-781-770-763-741-769-780-739-742-727-728-776-771</t>
  </si>
  <si>
    <t>ΓΚΑΡΓΚΟΥΔΗ</t>
  </si>
  <si>
    <t>ΑΖ318284</t>
  </si>
  <si>
    <t>732-731-735-734-768-730-760-756-755-785-705-844-706-707-708-740-715-733-736-738-775-737-703-704-710-711-712-717-761-757-714-765-764-724-725-726-762-774-747-746-718-702-752-753-754-749-750-751-748-721-720-773-772-777-783-745-719-744-713-716-786-758-782-781-743-769-770-739-763-741-787-780-742-776-759-779-784-723-728-727-729-767-771-722-778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</si>
</sst>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8"/>
      <name val="Calibri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1"/>
      <color rgb="FFFA7D00"/>
      <name val="Calibri"/>
      <family val="2"/>
      <charset val="161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3" applyNumberFormat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32" borderId="7" applyNumberFormat="0" applyFon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28" borderId="1" applyNumberFormat="0" applyAlignment="0" applyProtection="0"/>
  </cellStyleXfs>
  <cellXfs count="4">
    <xf numFmtId="0" fontId="0" fillId="0" borderId="0" xfId="0"/>
    <xf numFmtId="0" fontId="0" fillId="33" borderId="0" xfId="0" applyFill="1"/>
    <xf numFmtId="0" fontId="0" fillId="0" borderId="10" xfId="0" applyBorder="1"/>
    <xf numFmtId="0" fontId="0" fillId="34" borderId="10" xfId="0" applyFill="1" applyBorder="1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22"/>
  <sheetViews>
    <sheetView tabSelected="1" workbookViewId="0">
      <selection activeCell="G136" sqref="G136"/>
    </sheetView>
  </sheetViews>
  <sheetFormatPr defaultColWidth="8.85546875" defaultRowHeight="15" x14ac:dyDescent="0.25"/>
  <cols>
    <col min="1" max="16384" width="8.85546875" style="2"/>
  </cols>
  <sheetData>
    <row r="1" spans="1:24" x14ac:dyDescent="0.25">
      <c r="A1" s="2" t="s">
        <v>0</v>
      </c>
    </row>
    <row r="2" spans="1:24" x14ac:dyDescent="0.25">
      <c r="A2" s="2" t="s">
        <v>1</v>
      </c>
    </row>
    <row r="3" spans="1:24" x14ac:dyDescent="0.25">
      <c r="A3" s="2" t="s">
        <v>2</v>
      </c>
    </row>
    <row r="4" spans="1:24" x14ac:dyDescent="0.25">
      <c r="A4" s="2" t="s">
        <v>3</v>
      </c>
    </row>
    <row r="5" spans="1:24" x14ac:dyDescent="0.25">
      <c r="A5" s="2" t="s">
        <v>4</v>
      </c>
    </row>
    <row r="7" spans="1:24" x14ac:dyDescent="0.25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>
        <v>10</v>
      </c>
      <c r="Q7" s="2">
        <v>11</v>
      </c>
      <c r="R7" s="2">
        <v>12</v>
      </c>
      <c r="S7" s="2">
        <v>13</v>
      </c>
      <c r="T7" s="2">
        <v>14</v>
      </c>
      <c r="U7" s="2">
        <v>15</v>
      </c>
      <c r="V7" s="2">
        <v>16</v>
      </c>
      <c r="W7" s="2">
        <v>17</v>
      </c>
      <c r="X7" s="2" t="s">
        <v>12</v>
      </c>
    </row>
    <row r="8" spans="1:24" x14ac:dyDescent="0.25">
      <c r="A8" s="2">
        <v>1</v>
      </c>
      <c r="B8" s="2">
        <v>13919</v>
      </c>
      <c r="C8" s="2" t="s">
        <v>14</v>
      </c>
      <c r="D8" s="2" t="s">
        <v>15</v>
      </c>
      <c r="E8" s="2" t="s">
        <v>16</v>
      </c>
      <c r="F8" s="2" t="s">
        <v>17</v>
      </c>
      <c r="G8" s="2">
        <v>936.1</v>
      </c>
      <c r="H8" s="2">
        <v>150</v>
      </c>
      <c r="I8" s="2">
        <v>0</v>
      </c>
      <c r="J8" s="2">
        <v>0</v>
      </c>
      <c r="K8" s="2">
        <v>200</v>
      </c>
      <c r="L8" s="2">
        <v>0</v>
      </c>
      <c r="M8" s="2">
        <v>50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W8" s="2">
        <v>2</v>
      </c>
      <c r="X8" s="2">
        <v>1336.1</v>
      </c>
    </row>
    <row r="9" spans="1:24" x14ac:dyDescent="0.25">
      <c r="G9" s="2" t="s">
        <v>18</v>
      </c>
    </row>
    <row r="10" spans="1:24" x14ac:dyDescent="0.25">
      <c r="A10" s="2">
        <v>2</v>
      </c>
      <c r="B10" s="2">
        <v>9168</v>
      </c>
      <c r="C10" s="2" t="s">
        <v>20</v>
      </c>
      <c r="D10" s="2" t="s">
        <v>21</v>
      </c>
      <c r="E10" s="2" t="s">
        <v>22</v>
      </c>
      <c r="F10" s="2" t="s">
        <v>23</v>
      </c>
      <c r="G10" s="2">
        <v>986.7</v>
      </c>
      <c r="H10" s="2">
        <v>0</v>
      </c>
      <c r="I10" s="2">
        <v>0</v>
      </c>
      <c r="J10" s="2">
        <v>0</v>
      </c>
      <c r="K10" s="2">
        <v>260</v>
      </c>
      <c r="L10" s="2">
        <v>0</v>
      </c>
      <c r="M10" s="2">
        <v>30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W10" s="2">
        <v>0</v>
      </c>
      <c r="X10" s="2">
        <v>1276.7</v>
      </c>
    </row>
    <row r="11" spans="1:24" x14ac:dyDescent="0.25">
      <c r="G11" s="2" t="s">
        <v>24</v>
      </c>
    </row>
    <row r="12" spans="1:24" x14ac:dyDescent="0.25">
      <c r="A12" s="2">
        <v>3</v>
      </c>
      <c r="B12" s="2">
        <v>4192</v>
      </c>
      <c r="C12" s="2" t="s">
        <v>26</v>
      </c>
      <c r="D12" s="2" t="s">
        <v>27</v>
      </c>
      <c r="E12" s="2" t="s">
        <v>28</v>
      </c>
      <c r="F12" s="2" t="s">
        <v>29</v>
      </c>
      <c r="G12" s="2">
        <v>1002.1</v>
      </c>
      <c r="H12" s="2">
        <v>0</v>
      </c>
      <c r="I12" s="2">
        <v>0</v>
      </c>
      <c r="J12" s="2">
        <v>0</v>
      </c>
      <c r="K12" s="2">
        <v>200</v>
      </c>
      <c r="L12" s="2">
        <v>0</v>
      </c>
      <c r="M12" s="2">
        <v>70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W12" s="2">
        <v>0</v>
      </c>
      <c r="X12" s="2">
        <v>1272.0999999999999</v>
      </c>
    </row>
    <row r="13" spans="1:24" x14ac:dyDescent="0.25">
      <c r="G13" s="2" t="s">
        <v>30</v>
      </c>
    </row>
    <row r="14" spans="1:24" x14ac:dyDescent="0.25">
      <c r="A14" s="2">
        <v>4</v>
      </c>
      <c r="B14" s="2">
        <v>7055</v>
      </c>
      <c r="C14" s="2" t="s">
        <v>31</v>
      </c>
      <c r="D14" s="2" t="s">
        <v>32</v>
      </c>
      <c r="E14" s="2" t="s">
        <v>33</v>
      </c>
      <c r="F14" s="2" t="s">
        <v>34</v>
      </c>
      <c r="G14" s="2">
        <v>957</v>
      </c>
      <c r="H14" s="2">
        <v>0</v>
      </c>
      <c r="I14" s="2">
        <v>0</v>
      </c>
      <c r="J14" s="2">
        <v>0</v>
      </c>
      <c r="K14" s="2">
        <v>260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W14" s="2">
        <v>0</v>
      </c>
      <c r="X14" s="2">
        <v>1217</v>
      </c>
    </row>
    <row r="15" spans="1:24" x14ac:dyDescent="0.25">
      <c r="G15" s="2" t="s">
        <v>35</v>
      </c>
    </row>
    <row r="16" spans="1:24" x14ac:dyDescent="0.25">
      <c r="A16" s="2">
        <v>5</v>
      </c>
      <c r="B16" s="2">
        <v>12129</v>
      </c>
      <c r="C16" s="2" t="s">
        <v>37</v>
      </c>
      <c r="D16" s="2" t="s">
        <v>38</v>
      </c>
      <c r="E16" s="2" t="s">
        <v>39</v>
      </c>
      <c r="F16" s="2" t="s">
        <v>40</v>
      </c>
      <c r="G16" s="2">
        <v>942.7</v>
      </c>
      <c r="H16" s="2">
        <v>0</v>
      </c>
      <c r="I16" s="2">
        <v>0</v>
      </c>
      <c r="J16" s="2">
        <v>0</v>
      </c>
      <c r="K16" s="2">
        <v>200</v>
      </c>
      <c r="L16" s="2">
        <v>0</v>
      </c>
      <c r="M16" s="2">
        <v>70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W16" s="2">
        <v>0</v>
      </c>
      <c r="X16" s="2">
        <v>1212.7</v>
      </c>
    </row>
    <row r="17" spans="1:24" x14ac:dyDescent="0.25">
      <c r="G17" s="2" t="s">
        <v>41</v>
      </c>
    </row>
    <row r="18" spans="1:24" x14ac:dyDescent="0.25">
      <c r="A18" s="2">
        <v>6</v>
      </c>
      <c r="B18" s="2">
        <v>5940</v>
      </c>
      <c r="C18" s="2" t="s">
        <v>43</v>
      </c>
      <c r="D18" s="2" t="s">
        <v>44</v>
      </c>
      <c r="E18" s="2" t="s">
        <v>45</v>
      </c>
      <c r="F18" s="2" t="s">
        <v>46</v>
      </c>
      <c r="G18" s="2">
        <v>944.9</v>
      </c>
      <c r="H18" s="2">
        <v>0</v>
      </c>
      <c r="I18" s="2">
        <v>0</v>
      </c>
      <c r="J18" s="2">
        <v>0</v>
      </c>
      <c r="K18" s="2">
        <v>200</v>
      </c>
      <c r="L18" s="2">
        <v>0</v>
      </c>
      <c r="M18" s="2">
        <v>30</v>
      </c>
      <c r="N18" s="2">
        <v>0</v>
      </c>
      <c r="O18" s="2">
        <v>0</v>
      </c>
      <c r="P18" s="2">
        <v>30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W18" s="2">
        <v>0</v>
      </c>
      <c r="X18" s="2">
        <v>1204.9000000000001</v>
      </c>
    </row>
    <row r="19" spans="1:24" x14ac:dyDescent="0.25">
      <c r="G19" s="2" t="s">
        <v>47</v>
      </c>
    </row>
    <row r="20" spans="1:24" x14ac:dyDescent="0.25">
      <c r="A20" s="2">
        <v>7</v>
      </c>
      <c r="B20" s="2">
        <v>7355</v>
      </c>
      <c r="C20" s="2" t="s">
        <v>49</v>
      </c>
      <c r="D20" s="2" t="s">
        <v>50</v>
      </c>
      <c r="E20" s="2" t="s">
        <v>51</v>
      </c>
      <c r="F20" s="2" t="s">
        <v>52</v>
      </c>
      <c r="G20" s="2">
        <v>972.4</v>
      </c>
      <c r="H20" s="2">
        <v>0</v>
      </c>
      <c r="I20" s="2">
        <v>0</v>
      </c>
      <c r="J20" s="2">
        <v>0</v>
      </c>
      <c r="K20" s="2">
        <v>200</v>
      </c>
      <c r="L20" s="2">
        <v>0</v>
      </c>
      <c r="M20" s="2">
        <v>30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W20" s="2">
        <v>0</v>
      </c>
      <c r="X20" s="2">
        <v>1202.4000000000001</v>
      </c>
    </row>
    <row r="21" spans="1:24" x14ac:dyDescent="0.25">
      <c r="G21" s="2" t="s">
        <v>53</v>
      </c>
    </row>
    <row r="22" spans="1:24" x14ac:dyDescent="0.25">
      <c r="A22" s="2">
        <v>8</v>
      </c>
      <c r="B22" s="2">
        <v>3350</v>
      </c>
      <c r="C22" s="2" t="s">
        <v>55</v>
      </c>
      <c r="D22" s="2" t="s">
        <v>56</v>
      </c>
      <c r="E22" s="2" t="s">
        <v>39</v>
      </c>
      <c r="F22" s="2" t="s">
        <v>57</v>
      </c>
      <c r="G22" s="2">
        <v>909.7</v>
      </c>
      <c r="H22" s="2">
        <v>0</v>
      </c>
      <c r="I22" s="2">
        <v>0</v>
      </c>
      <c r="J22" s="2">
        <v>0</v>
      </c>
      <c r="K22" s="2">
        <v>200</v>
      </c>
      <c r="L22" s="2">
        <v>0</v>
      </c>
      <c r="M22" s="2">
        <v>70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W22" s="2">
        <v>0</v>
      </c>
      <c r="X22" s="2">
        <v>1179.7</v>
      </c>
    </row>
    <row r="23" spans="1:24" x14ac:dyDescent="0.25">
      <c r="G23" s="2" t="s">
        <v>58</v>
      </c>
    </row>
    <row r="24" spans="1:24" x14ac:dyDescent="0.25">
      <c r="A24" s="2">
        <v>9</v>
      </c>
      <c r="B24" s="2">
        <v>11154</v>
      </c>
      <c r="C24" s="2" t="s">
        <v>60</v>
      </c>
      <c r="D24" s="2" t="s">
        <v>61</v>
      </c>
      <c r="E24" s="2" t="s">
        <v>62</v>
      </c>
      <c r="F24" s="2" t="s">
        <v>63</v>
      </c>
      <c r="G24" s="2">
        <v>949.3</v>
      </c>
      <c r="H24" s="2">
        <v>0</v>
      </c>
      <c r="I24" s="2">
        <v>0</v>
      </c>
      <c r="J24" s="2">
        <v>0</v>
      </c>
      <c r="K24" s="2">
        <v>200</v>
      </c>
      <c r="L24" s="2">
        <v>0</v>
      </c>
      <c r="M24" s="2">
        <v>30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W24" s="2">
        <v>0</v>
      </c>
      <c r="X24" s="2">
        <v>1179.3</v>
      </c>
    </row>
    <row r="25" spans="1:24" x14ac:dyDescent="0.25">
      <c r="G25" s="2" t="s">
        <v>64</v>
      </c>
    </row>
    <row r="26" spans="1:24" s="3" customFormat="1" x14ac:dyDescent="0.25">
      <c r="A26" s="2">
        <v>10</v>
      </c>
      <c r="B26" s="3">
        <v>11995</v>
      </c>
      <c r="C26" s="3" t="s">
        <v>3532</v>
      </c>
      <c r="D26" s="3" t="s">
        <v>3533</v>
      </c>
      <c r="E26" s="3" t="s">
        <v>16</v>
      </c>
      <c r="F26" s="3" t="s">
        <v>3534</v>
      </c>
      <c r="G26" s="3">
        <v>878.9</v>
      </c>
      <c r="H26" s="3">
        <v>0</v>
      </c>
      <c r="I26" s="3">
        <v>0</v>
      </c>
      <c r="J26" s="3">
        <v>0</v>
      </c>
      <c r="K26" s="3">
        <v>200</v>
      </c>
      <c r="L26" s="3">
        <v>0</v>
      </c>
      <c r="M26" s="3">
        <v>70</v>
      </c>
      <c r="N26" s="3">
        <v>30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W26" s="3">
        <v>0</v>
      </c>
      <c r="X26" s="3">
        <v>1178.9000000000001</v>
      </c>
    </row>
    <row r="27" spans="1:24" s="3" customFormat="1" x14ac:dyDescent="0.25">
      <c r="A27" s="2"/>
      <c r="G27" s="2" t="s">
        <v>3535</v>
      </c>
    </row>
    <row r="28" spans="1:24" s="3" customFormat="1" x14ac:dyDescent="0.25">
      <c r="A28" s="2">
        <v>11</v>
      </c>
      <c r="B28" s="3">
        <v>17695</v>
      </c>
      <c r="C28" s="3" t="s">
        <v>3536</v>
      </c>
      <c r="D28" s="3" t="s">
        <v>248</v>
      </c>
      <c r="E28" s="3" t="s">
        <v>133</v>
      </c>
      <c r="F28" s="3" t="s">
        <v>3537</v>
      </c>
      <c r="G28" s="3">
        <v>877.8</v>
      </c>
      <c r="H28" s="3">
        <v>0</v>
      </c>
      <c r="I28" s="3">
        <v>0</v>
      </c>
      <c r="J28" s="3">
        <v>0</v>
      </c>
      <c r="K28" s="3">
        <v>200</v>
      </c>
      <c r="L28" s="3">
        <v>0</v>
      </c>
      <c r="M28" s="3">
        <v>70</v>
      </c>
      <c r="N28" s="3">
        <v>0</v>
      </c>
      <c r="O28" s="3">
        <v>0</v>
      </c>
      <c r="P28" s="3">
        <v>0</v>
      </c>
      <c r="Q28" s="3">
        <v>30</v>
      </c>
      <c r="R28" s="3">
        <v>0</v>
      </c>
      <c r="S28" s="3">
        <v>0</v>
      </c>
      <c r="T28" s="3">
        <v>0</v>
      </c>
      <c r="U28" s="3">
        <v>0</v>
      </c>
      <c r="W28" s="3">
        <v>0</v>
      </c>
      <c r="X28" s="3">
        <v>1177.8</v>
      </c>
    </row>
    <row r="29" spans="1:24" s="3" customFormat="1" x14ac:dyDescent="0.25">
      <c r="A29" s="2"/>
      <c r="G29" s="2" t="s">
        <v>3538</v>
      </c>
    </row>
    <row r="30" spans="1:24" s="3" customFormat="1" x14ac:dyDescent="0.25">
      <c r="A30" s="2">
        <v>12</v>
      </c>
      <c r="B30" s="3">
        <v>2858</v>
      </c>
      <c r="C30" s="3" t="s">
        <v>66</v>
      </c>
      <c r="D30" s="3" t="s">
        <v>67</v>
      </c>
      <c r="E30" s="3" t="s">
        <v>68</v>
      </c>
      <c r="F30" s="3" t="s">
        <v>69</v>
      </c>
      <c r="G30" s="3">
        <v>905.3</v>
      </c>
      <c r="H30" s="3">
        <v>0</v>
      </c>
      <c r="I30" s="3">
        <v>0</v>
      </c>
      <c r="J30" s="3">
        <v>0</v>
      </c>
      <c r="K30" s="3">
        <v>200</v>
      </c>
      <c r="L30" s="3">
        <v>0</v>
      </c>
      <c r="M30" s="3">
        <v>70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W30" s="3">
        <v>0</v>
      </c>
      <c r="X30" s="3">
        <v>1175.3</v>
      </c>
    </row>
    <row r="31" spans="1:24" s="3" customFormat="1" x14ac:dyDescent="0.25">
      <c r="A31" s="2"/>
      <c r="G31" s="2" t="s">
        <v>70</v>
      </c>
    </row>
    <row r="32" spans="1:24" s="3" customFormat="1" x14ac:dyDescent="0.25">
      <c r="A32" s="2">
        <v>13</v>
      </c>
      <c r="B32" s="3">
        <v>3333</v>
      </c>
      <c r="C32" s="3" t="s">
        <v>3539</v>
      </c>
      <c r="D32" s="3" t="s">
        <v>2321</v>
      </c>
      <c r="E32" s="3" t="s">
        <v>16</v>
      </c>
      <c r="F32" s="3" t="s">
        <v>3540</v>
      </c>
      <c r="G32" s="3">
        <v>984.5</v>
      </c>
      <c r="H32" s="3">
        <v>0</v>
      </c>
      <c r="I32" s="3">
        <v>0</v>
      </c>
      <c r="J32" s="3">
        <v>0</v>
      </c>
      <c r="K32" s="3">
        <v>0</v>
      </c>
      <c r="L32" s="3">
        <v>100</v>
      </c>
      <c r="M32" s="3">
        <v>30</v>
      </c>
      <c r="N32" s="3">
        <v>50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W32" s="3">
        <v>0</v>
      </c>
      <c r="X32" s="3">
        <v>1164.5</v>
      </c>
    </row>
    <row r="33" spans="1:24" s="3" customFormat="1" x14ac:dyDescent="0.25">
      <c r="A33" s="2"/>
      <c r="G33" s="2" t="s">
        <v>3541</v>
      </c>
    </row>
    <row r="34" spans="1:24" s="3" customFormat="1" x14ac:dyDescent="0.25">
      <c r="A34" s="2">
        <v>14</v>
      </c>
      <c r="B34" s="3">
        <v>183</v>
      </c>
      <c r="C34" s="3" t="s">
        <v>616</v>
      </c>
      <c r="D34" s="3" t="s">
        <v>164</v>
      </c>
      <c r="E34" s="3" t="s">
        <v>194</v>
      </c>
      <c r="F34" s="3" t="s">
        <v>3544</v>
      </c>
      <c r="G34" s="3">
        <v>932.8</v>
      </c>
      <c r="H34" s="3">
        <v>0</v>
      </c>
      <c r="I34" s="3">
        <v>0</v>
      </c>
      <c r="J34" s="3">
        <v>0</v>
      </c>
      <c r="K34" s="3">
        <v>200</v>
      </c>
      <c r="L34" s="3">
        <v>0</v>
      </c>
      <c r="M34" s="3">
        <v>30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W34" s="3">
        <v>0</v>
      </c>
      <c r="X34" s="3">
        <v>1162.8</v>
      </c>
    </row>
    <row r="35" spans="1:24" s="3" customFormat="1" x14ac:dyDescent="0.25">
      <c r="A35" s="2"/>
      <c r="G35" s="2" t="s">
        <v>3545</v>
      </c>
    </row>
    <row r="36" spans="1:24" s="3" customFormat="1" x14ac:dyDescent="0.25">
      <c r="A36" s="2">
        <v>15</v>
      </c>
      <c r="B36" s="3">
        <v>10006</v>
      </c>
      <c r="C36" s="3" t="s">
        <v>3546</v>
      </c>
      <c r="D36" s="3" t="s">
        <v>182</v>
      </c>
      <c r="E36" s="3" t="s">
        <v>39</v>
      </c>
      <c r="F36" s="3" t="s">
        <v>3547</v>
      </c>
      <c r="G36" s="3">
        <v>928.4</v>
      </c>
      <c r="H36" s="3">
        <v>0</v>
      </c>
      <c r="I36" s="3">
        <v>0</v>
      </c>
      <c r="J36" s="3">
        <v>0</v>
      </c>
      <c r="K36" s="3">
        <v>200</v>
      </c>
      <c r="L36" s="3">
        <v>0</v>
      </c>
      <c r="M36" s="3">
        <v>30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W36" s="3">
        <v>0</v>
      </c>
      <c r="X36" s="3">
        <v>1158.4000000000001</v>
      </c>
    </row>
    <row r="37" spans="1:24" s="3" customFormat="1" x14ac:dyDescent="0.25">
      <c r="A37" s="2"/>
      <c r="G37" s="2" t="s">
        <v>3548</v>
      </c>
    </row>
    <row r="38" spans="1:24" s="3" customFormat="1" x14ac:dyDescent="0.25">
      <c r="A38" s="2">
        <v>16</v>
      </c>
      <c r="B38" s="3">
        <v>2491</v>
      </c>
      <c r="C38" s="3" t="s">
        <v>3549</v>
      </c>
      <c r="D38" s="3" t="s">
        <v>1399</v>
      </c>
      <c r="E38" s="3" t="s">
        <v>2022</v>
      </c>
      <c r="F38" s="3" t="s">
        <v>3550</v>
      </c>
      <c r="G38" s="3">
        <v>878.9</v>
      </c>
      <c r="H38" s="3">
        <v>0</v>
      </c>
      <c r="I38" s="3">
        <v>0</v>
      </c>
      <c r="J38" s="3">
        <v>0</v>
      </c>
      <c r="K38" s="3">
        <v>200</v>
      </c>
      <c r="L38" s="3">
        <v>0</v>
      </c>
      <c r="M38" s="3">
        <v>70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W38" s="3">
        <v>0</v>
      </c>
      <c r="X38" s="3">
        <v>1148.9000000000001</v>
      </c>
    </row>
    <row r="39" spans="1:24" s="3" customFormat="1" x14ac:dyDescent="0.25">
      <c r="A39" s="2"/>
      <c r="G39" s="2" t="s">
        <v>3551</v>
      </c>
    </row>
    <row r="40" spans="1:24" s="3" customFormat="1" x14ac:dyDescent="0.25">
      <c r="A40" s="2">
        <v>17</v>
      </c>
      <c r="B40" s="3">
        <v>5834</v>
      </c>
      <c r="C40" s="3" t="s">
        <v>3552</v>
      </c>
      <c r="D40" s="3" t="s">
        <v>164</v>
      </c>
      <c r="E40" s="3" t="s">
        <v>73</v>
      </c>
      <c r="F40" s="3" t="s">
        <v>3553</v>
      </c>
      <c r="G40" s="3">
        <v>918.5</v>
      </c>
      <c r="H40" s="3">
        <v>0</v>
      </c>
      <c r="I40" s="3">
        <v>0</v>
      </c>
      <c r="J40" s="3">
        <v>0</v>
      </c>
      <c r="K40" s="3">
        <v>200</v>
      </c>
      <c r="L40" s="3">
        <v>0</v>
      </c>
      <c r="M40" s="3">
        <v>30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W40" s="3">
        <v>0</v>
      </c>
      <c r="X40" s="3">
        <v>1148.5</v>
      </c>
    </row>
    <row r="41" spans="1:24" s="3" customFormat="1" x14ac:dyDescent="0.25">
      <c r="A41" s="2"/>
      <c r="G41" s="2" t="s">
        <v>3554</v>
      </c>
    </row>
    <row r="42" spans="1:24" s="3" customFormat="1" x14ac:dyDescent="0.25">
      <c r="A42" s="2">
        <v>18</v>
      </c>
      <c r="B42" s="3">
        <v>2283</v>
      </c>
      <c r="C42" s="3" t="s">
        <v>3555</v>
      </c>
      <c r="D42" s="3" t="s">
        <v>208</v>
      </c>
      <c r="E42" s="3" t="s">
        <v>540</v>
      </c>
      <c r="F42" s="3" t="s">
        <v>3556</v>
      </c>
      <c r="G42" s="3">
        <v>914.1</v>
      </c>
      <c r="H42" s="3">
        <v>0</v>
      </c>
      <c r="I42" s="3">
        <v>0</v>
      </c>
      <c r="J42" s="3">
        <v>0</v>
      </c>
      <c r="K42" s="3">
        <v>200</v>
      </c>
      <c r="L42" s="3">
        <v>0</v>
      </c>
      <c r="M42" s="3">
        <v>30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W42" s="3">
        <v>0</v>
      </c>
      <c r="X42" s="3">
        <v>1144.0999999999999</v>
      </c>
    </row>
    <row r="43" spans="1:24" s="3" customFormat="1" x14ac:dyDescent="0.25">
      <c r="A43" s="2"/>
      <c r="G43" s="2" t="s">
        <v>3557</v>
      </c>
    </row>
    <row r="44" spans="1:24" s="3" customFormat="1" x14ac:dyDescent="0.25">
      <c r="A44" s="2">
        <v>19</v>
      </c>
      <c r="B44" s="3">
        <v>7428</v>
      </c>
      <c r="C44" s="3" t="s">
        <v>3558</v>
      </c>
      <c r="D44" s="3" t="s">
        <v>107</v>
      </c>
      <c r="E44" s="3" t="s">
        <v>1264</v>
      </c>
      <c r="F44" s="3" t="s">
        <v>3559</v>
      </c>
      <c r="G44" s="3">
        <v>908.6</v>
      </c>
      <c r="H44" s="3">
        <v>0</v>
      </c>
      <c r="I44" s="3">
        <v>0</v>
      </c>
      <c r="J44" s="3">
        <v>0</v>
      </c>
      <c r="K44" s="3">
        <v>200</v>
      </c>
      <c r="L44" s="3">
        <v>0</v>
      </c>
      <c r="M44" s="3">
        <v>30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W44" s="3">
        <v>0</v>
      </c>
      <c r="X44" s="3">
        <v>1138.5999999999999</v>
      </c>
    </row>
    <row r="45" spans="1:24" s="3" customFormat="1" x14ac:dyDescent="0.25">
      <c r="A45" s="2"/>
      <c r="G45" s="2" t="s">
        <v>3560</v>
      </c>
    </row>
    <row r="46" spans="1:24" s="3" customFormat="1" x14ac:dyDescent="0.25">
      <c r="A46" s="2">
        <v>20</v>
      </c>
      <c r="B46" s="3">
        <v>15591</v>
      </c>
      <c r="C46" s="3" t="s">
        <v>3561</v>
      </c>
      <c r="D46" s="3" t="s">
        <v>89</v>
      </c>
      <c r="E46" s="3" t="s">
        <v>39</v>
      </c>
      <c r="F46" s="3" t="s">
        <v>3562</v>
      </c>
      <c r="G46" s="3">
        <v>866.8</v>
      </c>
      <c r="H46" s="3">
        <v>0</v>
      </c>
      <c r="I46" s="3">
        <v>0</v>
      </c>
      <c r="J46" s="3">
        <v>0</v>
      </c>
      <c r="K46" s="3">
        <v>200</v>
      </c>
      <c r="L46" s="3">
        <v>0</v>
      </c>
      <c r="M46" s="3">
        <v>70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W46" s="3">
        <v>0</v>
      </c>
      <c r="X46" s="3">
        <v>1136.8</v>
      </c>
    </row>
    <row r="47" spans="1:24" s="3" customFormat="1" x14ac:dyDescent="0.25">
      <c r="A47" s="2"/>
      <c r="G47" s="2" t="s">
        <v>3563</v>
      </c>
    </row>
    <row r="48" spans="1:24" s="3" customFormat="1" x14ac:dyDescent="0.25">
      <c r="A48" s="2">
        <v>21</v>
      </c>
      <c r="B48" s="3">
        <v>4660</v>
      </c>
      <c r="C48" s="3" t="s">
        <v>3564</v>
      </c>
      <c r="D48" s="3" t="s">
        <v>56</v>
      </c>
      <c r="E48" s="3" t="s">
        <v>193</v>
      </c>
      <c r="F48" s="3" t="s">
        <v>3565</v>
      </c>
      <c r="G48" s="3">
        <v>906.4</v>
      </c>
      <c r="H48" s="3">
        <v>0</v>
      </c>
      <c r="I48" s="3">
        <v>0</v>
      </c>
      <c r="J48" s="3">
        <v>0</v>
      </c>
      <c r="K48" s="3">
        <v>200</v>
      </c>
      <c r="L48" s="3">
        <v>0</v>
      </c>
      <c r="M48" s="3">
        <v>30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W48" s="3">
        <v>0</v>
      </c>
      <c r="X48" s="3">
        <v>1136.4000000000001</v>
      </c>
    </row>
    <row r="49" spans="1:24" s="3" customFormat="1" x14ac:dyDescent="0.25">
      <c r="A49" s="2"/>
      <c r="G49" s="2" t="s">
        <v>3566</v>
      </c>
    </row>
    <row r="50" spans="1:24" s="3" customFormat="1" x14ac:dyDescent="0.25">
      <c r="A50" s="2">
        <v>22</v>
      </c>
      <c r="B50" s="3">
        <v>2074</v>
      </c>
      <c r="C50" s="3" t="s">
        <v>72</v>
      </c>
      <c r="D50" s="3" t="s">
        <v>50</v>
      </c>
      <c r="E50" s="3" t="s">
        <v>73</v>
      </c>
      <c r="F50" s="3" t="s">
        <v>74</v>
      </c>
      <c r="G50" s="3">
        <v>906.4</v>
      </c>
      <c r="H50" s="3">
        <v>0</v>
      </c>
      <c r="I50" s="3">
        <v>0</v>
      </c>
      <c r="J50" s="3">
        <v>0</v>
      </c>
      <c r="K50" s="3">
        <v>200</v>
      </c>
      <c r="L50" s="3">
        <v>0</v>
      </c>
      <c r="M50" s="3">
        <v>30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W50" s="3">
        <v>0</v>
      </c>
      <c r="X50" s="3">
        <v>1136.4000000000001</v>
      </c>
    </row>
    <row r="51" spans="1:24" s="3" customFormat="1" x14ac:dyDescent="0.25">
      <c r="A51" s="2"/>
      <c r="G51" s="2" t="s">
        <v>75</v>
      </c>
    </row>
    <row r="52" spans="1:24" s="3" customFormat="1" x14ac:dyDescent="0.25">
      <c r="A52" s="2">
        <v>23</v>
      </c>
      <c r="B52" s="3">
        <v>14500</v>
      </c>
      <c r="C52" s="3" t="s">
        <v>77</v>
      </c>
      <c r="D52" s="3" t="s">
        <v>78</v>
      </c>
      <c r="E52" s="3" t="s">
        <v>79</v>
      </c>
      <c r="F52" s="3" t="s">
        <v>80</v>
      </c>
      <c r="G52" s="3">
        <v>862.4</v>
      </c>
      <c r="H52" s="3">
        <v>0</v>
      </c>
      <c r="I52" s="3">
        <v>0</v>
      </c>
      <c r="J52" s="3">
        <v>0</v>
      </c>
      <c r="K52" s="3">
        <v>200</v>
      </c>
      <c r="L52" s="3">
        <v>0</v>
      </c>
      <c r="M52" s="3">
        <v>70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W52" s="3">
        <v>0</v>
      </c>
      <c r="X52" s="3">
        <v>1132.4000000000001</v>
      </c>
    </row>
    <row r="53" spans="1:24" s="3" customFormat="1" x14ac:dyDescent="0.25">
      <c r="A53" s="2"/>
      <c r="G53" s="2" t="s">
        <v>81</v>
      </c>
    </row>
    <row r="54" spans="1:24" s="3" customFormat="1" x14ac:dyDescent="0.25">
      <c r="A54" s="2">
        <v>24</v>
      </c>
      <c r="B54" s="3">
        <v>36</v>
      </c>
      <c r="C54" s="3" t="s">
        <v>3567</v>
      </c>
      <c r="D54" s="3" t="s">
        <v>365</v>
      </c>
      <c r="E54" s="3" t="s">
        <v>2661</v>
      </c>
      <c r="F54" s="3" t="s">
        <v>3568</v>
      </c>
      <c r="G54" s="3">
        <v>900.9</v>
      </c>
      <c r="H54" s="3">
        <v>0</v>
      </c>
      <c r="I54" s="3">
        <v>0</v>
      </c>
      <c r="J54" s="3">
        <v>0</v>
      </c>
      <c r="K54" s="3">
        <v>200</v>
      </c>
      <c r="L54" s="3">
        <v>0</v>
      </c>
      <c r="M54" s="3">
        <v>30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W54" s="3">
        <v>0</v>
      </c>
      <c r="X54" s="3">
        <v>1130.9000000000001</v>
      </c>
    </row>
    <row r="55" spans="1:24" s="3" customFormat="1" x14ac:dyDescent="0.25">
      <c r="A55" s="2"/>
      <c r="G55" s="2" t="s">
        <v>3569</v>
      </c>
    </row>
    <row r="56" spans="1:24" s="3" customFormat="1" x14ac:dyDescent="0.25">
      <c r="A56" s="2">
        <v>25</v>
      </c>
      <c r="B56" s="3">
        <v>14730</v>
      </c>
      <c r="C56" s="3" t="s">
        <v>83</v>
      </c>
      <c r="D56" s="3" t="s">
        <v>78</v>
      </c>
      <c r="E56" s="3" t="s">
        <v>84</v>
      </c>
      <c r="F56" s="3" t="s">
        <v>85</v>
      </c>
      <c r="G56" s="3">
        <v>894.3</v>
      </c>
      <c r="H56" s="3">
        <v>0</v>
      </c>
      <c r="I56" s="3">
        <v>0</v>
      </c>
      <c r="J56" s="3">
        <v>0</v>
      </c>
      <c r="K56" s="3">
        <v>200</v>
      </c>
      <c r="L56" s="3">
        <v>0</v>
      </c>
      <c r="M56" s="3">
        <v>30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W56" s="3">
        <v>0</v>
      </c>
      <c r="X56" s="3">
        <v>1124.3</v>
      </c>
    </row>
    <row r="57" spans="1:24" s="3" customFormat="1" x14ac:dyDescent="0.25">
      <c r="A57" s="2"/>
      <c r="G57" s="2" t="s">
        <v>86</v>
      </c>
    </row>
    <row r="58" spans="1:24" s="3" customFormat="1" x14ac:dyDescent="0.25">
      <c r="A58" s="2">
        <v>26</v>
      </c>
      <c r="B58" s="3">
        <v>15627</v>
      </c>
      <c r="C58" s="3" t="s">
        <v>88</v>
      </c>
      <c r="D58" s="3" t="s">
        <v>89</v>
      </c>
      <c r="E58" s="3" t="s">
        <v>90</v>
      </c>
      <c r="F58" s="3" t="s">
        <v>91</v>
      </c>
      <c r="G58" s="3">
        <v>853.6</v>
      </c>
      <c r="H58" s="3">
        <v>0</v>
      </c>
      <c r="I58" s="3">
        <v>0</v>
      </c>
      <c r="J58" s="3">
        <v>0</v>
      </c>
      <c r="K58" s="3">
        <v>200</v>
      </c>
      <c r="L58" s="3">
        <v>0</v>
      </c>
      <c r="M58" s="3">
        <v>70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W58" s="3">
        <v>0</v>
      </c>
      <c r="X58" s="3">
        <v>1123.5999999999999</v>
      </c>
    </row>
    <row r="59" spans="1:24" s="3" customFormat="1" x14ac:dyDescent="0.25">
      <c r="A59" s="2"/>
      <c r="G59" s="2" t="s">
        <v>92</v>
      </c>
    </row>
    <row r="60" spans="1:24" s="3" customFormat="1" x14ac:dyDescent="0.25">
      <c r="A60" s="2">
        <v>27</v>
      </c>
      <c r="B60" s="3">
        <v>13511</v>
      </c>
      <c r="C60" s="3" t="s">
        <v>93</v>
      </c>
      <c r="D60" s="3" t="s">
        <v>94</v>
      </c>
      <c r="E60" s="3" t="s">
        <v>79</v>
      </c>
      <c r="F60" s="3" t="s">
        <v>95</v>
      </c>
      <c r="G60" s="3">
        <v>893.2</v>
      </c>
      <c r="H60" s="3">
        <v>0</v>
      </c>
      <c r="I60" s="3">
        <v>0</v>
      </c>
      <c r="J60" s="3">
        <v>0</v>
      </c>
      <c r="K60" s="3">
        <v>200</v>
      </c>
      <c r="L60" s="3">
        <v>0</v>
      </c>
      <c r="M60" s="3">
        <v>30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W60" s="3">
        <v>0</v>
      </c>
      <c r="X60" s="3">
        <v>1123.2</v>
      </c>
    </row>
    <row r="61" spans="1:24" s="3" customFormat="1" x14ac:dyDescent="0.25">
      <c r="A61" s="2"/>
      <c r="G61" s="2" t="s">
        <v>96</v>
      </c>
    </row>
    <row r="62" spans="1:24" s="3" customFormat="1" x14ac:dyDescent="0.25">
      <c r="A62" s="2">
        <v>28</v>
      </c>
      <c r="B62" s="3">
        <v>9748</v>
      </c>
      <c r="C62" s="3" t="s">
        <v>97</v>
      </c>
      <c r="D62" s="3" t="s">
        <v>98</v>
      </c>
      <c r="E62" s="3" t="s">
        <v>99</v>
      </c>
      <c r="F62" s="3" t="s">
        <v>100</v>
      </c>
      <c r="G62" s="3">
        <v>892.1</v>
      </c>
      <c r="H62" s="3">
        <v>0</v>
      </c>
      <c r="I62" s="3">
        <v>0</v>
      </c>
      <c r="J62" s="3">
        <v>0</v>
      </c>
      <c r="K62" s="3">
        <v>200</v>
      </c>
      <c r="L62" s="3">
        <v>0</v>
      </c>
      <c r="M62" s="3">
        <v>30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W62" s="3">
        <v>0</v>
      </c>
      <c r="X62" s="3">
        <v>1122.0999999999999</v>
      </c>
    </row>
    <row r="63" spans="1:24" s="3" customFormat="1" x14ac:dyDescent="0.25">
      <c r="A63" s="2"/>
      <c r="G63" s="2" t="s">
        <v>101</v>
      </c>
    </row>
    <row r="64" spans="1:24" s="3" customFormat="1" x14ac:dyDescent="0.25">
      <c r="A64" s="2">
        <v>29</v>
      </c>
      <c r="B64" s="3">
        <v>1515</v>
      </c>
      <c r="C64" s="3" t="s">
        <v>102</v>
      </c>
      <c r="D64" s="3" t="s">
        <v>89</v>
      </c>
      <c r="E64" s="3" t="s">
        <v>103</v>
      </c>
      <c r="F64" s="3" t="s">
        <v>104</v>
      </c>
      <c r="G64" s="3">
        <v>889.9</v>
      </c>
      <c r="H64" s="3">
        <v>0</v>
      </c>
      <c r="I64" s="3">
        <v>0</v>
      </c>
      <c r="J64" s="3">
        <v>0</v>
      </c>
      <c r="K64" s="3">
        <v>200</v>
      </c>
      <c r="L64" s="3">
        <v>0</v>
      </c>
      <c r="M64" s="3">
        <v>30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W64" s="3">
        <v>0</v>
      </c>
      <c r="X64" s="3">
        <v>1119.9000000000001</v>
      </c>
    </row>
    <row r="65" spans="1:24" s="3" customFormat="1" x14ac:dyDescent="0.25">
      <c r="A65" s="2"/>
      <c r="G65" s="2" t="s">
        <v>105</v>
      </c>
    </row>
    <row r="66" spans="1:24" s="3" customFormat="1" x14ac:dyDescent="0.25">
      <c r="A66" s="2">
        <v>30</v>
      </c>
      <c r="B66" s="3">
        <v>7829</v>
      </c>
      <c r="C66" s="3" t="s">
        <v>106</v>
      </c>
      <c r="D66" s="3" t="s">
        <v>107</v>
      </c>
      <c r="E66" s="3" t="s">
        <v>108</v>
      </c>
      <c r="F66" s="3" t="s">
        <v>109</v>
      </c>
      <c r="G66" s="3">
        <v>885.5</v>
      </c>
      <c r="H66" s="3">
        <v>0</v>
      </c>
      <c r="I66" s="3">
        <v>0</v>
      </c>
      <c r="J66" s="3">
        <v>0</v>
      </c>
      <c r="K66" s="3">
        <v>200</v>
      </c>
      <c r="L66" s="3">
        <v>0</v>
      </c>
      <c r="M66" s="3">
        <v>30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W66" s="3">
        <v>0</v>
      </c>
      <c r="X66" s="3">
        <v>1115.5</v>
      </c>
    </row>
    <row r="67" spans="1:24" s="3" customFormat="1" x14ac:dyDescent="0.25">
      <c r="A67" s="2"/>
      <c r="G67" s="2" t="s">
        <v>110</v>
      </c>
    </row>
    <row r="68" spans="1:24" s="3" customFormat="1" x14ac:dyDescent="0.25">
      <c r="A68" s="2">
        <v>31</v>
      </c>
      <c r="B68" s="3">
        <v>14598</v>
      </c>
      <c r="C68" s="3" t="s">
        <v>111</v>
      </c>
      <c r="D68" s="3" t="s">
        <v>112</v>
      </c>
      <c r="E68" s="3" t="s">
        <v>113</v>
      </c>
      <c r="F68" s="3" t="s">
        <v>114</v>
      </c>
      <c r="G68" s="3">
        <v>885.5</v>
      </c>
      <c r="H68" s="3">
        <v>0</v>
      </c>
      <c r="I68" s="3">
        <v>0</v>
      </c>
      <c r="J68" s="3">
        <v>0</v>
      </c>
      <c r="K68" s="3">
        <v>200</v>
      </c>
      <c r="L68" s="3">
        <v>0</v>
      </c>
      <c r="M68" s="3">
        <v>30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W68" s="3">
        <v>0</v>
      </c>
      <c r="X68" s="3">
        <v>1115.5</v>
      </c>
    </row>
    <row r="69" spans="1:24" s="3" customFormat="1" x14ac:dyDescent="0.25">
      <c r="A69" s="2"/>
      <c r="G69" s="2" t="s">
        <v>115</v>
      </c>
    </row>
    <row r="70" spans="1:24" s="3" customFormat="1" x14ac:dyDescent="0.25">
      <c r="A70" s="2">
        <v>32</v>
      </c>
      <c r="B70" s="3">
        <v>9326</v>
      </c>
      <c r="C70" s="3" t="s">
        <v>116</v>
      </c>
      <c r="D70" s="3" t="s">
        <v>117</v>
      </c>
      <c r="E70" s="3" t="s">
        <v>118</v>
      </c>
      <c r="F70" s="3" t="s">
        <v>119</v>
      </c>
      <c r="G70" s="3">
        <v>881.1</v>
      </c>
      <c r="H70" s="3">
        <v>0</v>
      </c>
      <c r="I70" s="3">
        <v>0</v>
      </c>
      <c r="J70" s="3">
        <v>0</v>
      </c>
      <c r="K70" s="3">
        <v>200</v>
      </c>
      <c r="L70" s="3">
        <v>0</v>
      </c>
      <c r="M70" s="3">
        <v>30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W70" s="3">
        <v>0</v>
      </c>
      <c r="X70" s="3">
        <v>1111.0999999999999</v>
      </c>
    </row>
    <row r="71" spans="1:24" s="3" customFormat="1" x14ac:dyDescent="0.25">
      <c r="A71" s="2"/>
      <c r="G71" s="2" t="s">
        <v>120</v>
      </c>
    </row>
    <row r="72" spans="1:24" s="3" customFormat="1" x14ac:dyDescent="0.25">
      <c r="A72" s="2">
        <v>33</v>
      </c>
      <c r="B72" s="3">
        <v>9457</v>
      </c>
      <c r="C72" s="3" t="s">
        <v>121</v>
      </c>
      <c r="D72" s="3" t="s">
        <v>98</v>
      </c>
      <c r="E72" s="3" t="s">
        <v>122</v>
      </c>
      <c r="F72" s="3" t="s">
        <v>123</v>
      </c>
      <c r="G72" s="3">
        <v>809.6</v>
      </c>
      <c r="H72" s="3">
        <v>0</v>
      </c>
      <c r="I72" s="3">
        <v>0</v>
      </c>
      <c r="J72" s="3">
        <v>0</v>
      </c>
      <c r="K72" s="3">
        <v>200</v>
      </c>
      <c r="L72" s="3">
        <v>0</v>
      </c>
      <c r="M72" s="3">
        <v>70</v>
      </c>
      <c r="N72" s="3">
        <v>0</v>
      </c>
      <c r="O72" s="3">
        <v>30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W72" s="3">
        <v>0</v>
      </c>
      <c r="X72" s="3">
        <v>1109.5999999999999</v>
      </c>
    </row>
    <row r="73" spans="1:24" s="3" customFormat="1" x14ac:dyDescent="0.25">
      <c r="A73" s="2"/>
      <c r="G73" s="2" t="s">
        <v>124</v>
      </c>
    </row>
    <row r="74" spans="1:24" s="3" customFormat="1" x14ac:dyDescent="0.25">
      <c r="A74" s="2">
        <v>34</v>
      </c>
      <c r="B74" s="3">
        <v>16684</v>
      </c>
      <c r="C74" s="3" t="s">
        <v>125</v>
      </c>
      <c r="D74" s="3" t="s">
        <v>126</v>
      </c>
      <c r="E74" s="3" t="s">
        <v>127</v>
      </c>
      <c r="F74" s="3" t="s">
        <v>128</v>
      </c>
      <c r="G74" s="3">
        <v>837.1</v>
      </c>
      <c r="H74" s="3">
        <v>0</v>
      </c>
      <c r="I74" s="3">
        <v>0</v>
      </c>
      <c r="J74" s="3">
        <v>0</v>
      </c>
      <c r="K74" s="3">
        <v>200</v>
      </c>
      <c r="L74" s="3">
        <v>0</v>
      </c>
      <c r="M74" s="3">
        <v>70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W74" s="3">
        <v>0</v>
      </c>
      <c r="X74" s="3">
        <v>1107.0999999999999</v>
      </c>
    </row>
    <row r="75" spans="1:24" s="3" customFormat="1" x14ac:dyDescent="0.25">
      <c r="A75" s="2"/>
      <c r="G75" s="2" t="s">
        <v>129</v>
      </c>
    </row>
    <row r="76" spans="1:24" s="3" customFormat="1" x14ac:dyDescent="0.25">
      <c r="A76" s="2">
        <v>35</v>
      </c>
      <c r="B76" s="3">
        <v>1074</v>
      </c>
      <c r="C76" s="3" t="s">
        <v>131</v>
      </c>
      <c r="D76" s="3" t="s">
        <v>132</v>
      </c>
      <c r="E76" s="3" t="s">
        <v>133</v>
      </c>
      <c r="F76" s="3" t="s">
        <v>134</v>
      </c>
      <c r="G76" s="3">
        <v>856.9</v>
      </c>
      <c r="H76" s="3">
        <v>0</v>
      </c>
      <c r="I76" s="3">
        <v>0</v>
      </c>
      <c r="J76" s="3">
        <v>0</v>
      </c>
      <c r="K76" s="3">
        <v>200</v>
      </c>
      <c r="L76" s="3">
        <v>0</v>
      </c>
      <c r="M76" s="3">
        <v>50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W76" s="3">
        <v>0</v>
      </c>
      <c r="X76" s="3">
        <v>1106.9000000000001</v>
      </c>
    </row>
    <row r="77" spans="1:24" s="3" customFormat="1" x14ac:dyDescent="0.25">
      <c r="A77" s="2"/>
      <c r="G77" s="2" t="s">
        <v>135</v>
      </c>
    </row>
    <row r="78" spans="1:24" s="3" customFormat="1" x14ac:dyDescent="0.25">
      <c r="A78" s="2">
        <v>36</v>
      </c>
      <c r="B78" s="3">
        <v>3801</v>
      </c>
      <c r="C78" s="3" t="s">
        <v>137</v>
      </c>
      <c r="D78" s="3" t="s">
        <v>112</v>
      </c>
      <c r="E78" s="3" t="s">
        <v>138</v>
      </c>
      <c r="F78" s="3" t="s">
        <v>139</v>
      </c>
      <c r="G78" s="3">
        <v>876.7</v>
      </c>
      <c r="H78" s="3">
        <v>0</v>
      </c>
      <c r="I78" s="3">
        <v>0</v>
      </c>
      <c r="J78" s="3">
        <v>0</v>
      </c>
      <c r="K78" s="3">
        <v>200</v>
      </c>
      <c r="L78" s="3">
        <v>0</v>
      </c>
      <c r="M78" s="3">
        <v>30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W78" s="3">
        <v>0</v>
      </c>
      <c r="X78" s="3">
        <v>1106.7</v>
      </c>
    </row>
    <row r="79" spans="1:24" s="3" customFormat="1" x14ac:dyDescent="0.25">
      <c r="A79" s="2"/>
      <c r="G79" s="2" t="s">
        <v>140</v>
      </c>
    </row>
    <row r="80" spans="1:24" s="3" customFormat="1" x14ac:dyDescent="0.25">
      <c r="A80" s="2">
        <v>37</v>
      </c>
      <c r="B80" s="3">
        <v>10806</v>
      </c>
      <c r="C80" s="3" t="s">
        <v>142</v>
      </c>
      <c r="D80" s="3" t="s">
        <v>143</v>
      </c>
      <c r="E80" s="3" t="s">
        <v>144</v>
      </c>
      <c r="F80" s="3" t="s">
        <v>145</v>
      </c>
      <c r="G80" s="3">
        <v>873.4</v>
      </c>
      <c r="H80" s="3">
        <v>0</v>
      </c>
      <c r="I80" s="3">
        <v>0</v>
      </c>
      <c r="J80" s="3">
        <v>0</v>
      </c>
      <c r="K80" s="3">
        <v>200</v>
      </c>
      <c r="L80" s="3">
        <v>0</v>
      </c>
      <c r="M80" s="3">
        <v>30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W80" s="3">
        <v>0</v>
      </c>
      <c r="X80" s="3">
        <v>1103.4000000000001</v>
      </c>
    </row>
    <row r="81" spans="1:24" s="3" customFormat="1" x14ac:dyDescent="0.25">
      <c r="A81" s="2"/>
      <c r="G81" s="2" t="s">
        <v>146</v>
      </c>
    </row>
    <row r="82" spans="1:24" s="3" customFormat="1" x14ac:dyDescent="0.25">
      <c r="A82" s="2">
        <v>38</v>
      </c>
      <c r="B82" s="3">
        <v>9653</v>
      </c>
      <c r="C82" s="3" t="s">
        <v>147</v>
      </c>
      <c r="D82" s="3" t="s">
        <v>112</v>
      </c>
      <c r="E82" s="3" t="s">
        <v>148</v>
      </c>
      <c r="F82" s="3" t="s">
        <v>149</v>
      </c>
      <c r="G82" s="3">
        <v>830.5</v>
      </c>
      <c r="H82" s="3">
        <v>0</v>
      </c>
      <c r="I82" s="3">
        <v>0</v>
      </c>
      <c r="J82" s="3">
        <v>0</v>
      </c>
      <c r="K82" s="3">
        <v>200</v>
      </c>
      <c r="L82" s="3">
        <v>0</v>
      </c>
      <c r="M82" s="3">
        <v>70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W82" s="3">
        <v>0</v>
      </c>
      <c r="X82" s="3">
        <v>1100.5</v>
      </c>
    </row>
    <row r="83" spans="1:24" s="3" customFormat="1" x14ac:dyDescent="0.25">
      <c r="A83" s="2"/>
      <c r="G83" s="2" t="s">
        <v>150</v>
      </c>
    </row>
    <row r="84" spans="1:24" s="3" customFormat="1" x14ac:dyDescent="0.25">
      <c r="A84" s="2">
        <v>39</v>
      </c>
      <c r="B84" s="3">
        <v>10074</v>
      </c>
      <c r="C84" s="3" t="s">
        <v>151</v>
      </c>
      <c r="D84" s="3" t="s">
        <v>152</v>
      </c>
      <c r="E84" s="3" t="s">
        <v>90</v>
      </c>
      <c r="F84" s="3" t="s">
        <v>153</v>
      </c>
      <c r="G84" s="3">
        <v>870.1</v>
      </c>
      <c r="H84" s="3">
        <v>0</v>
      </c>
      <c r="I84" s="3">
        <v>0</v>
      </c>
      <c r="J84" s="3">
        <v>0</v>
      </c>
      <c r="K84" s="3">
        <v>200</v>
      </c>
      <c r="L84" s="3">
        <v>0</v>
      </c>
      <c r="M84" s="3">
        <v>30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W84" s="3">
        <v>0</v>
      </c>
      <c r="X84" s="3">
        <v>1100.0999999999999</v>
      </c>
    </row>
    <row r="85" spans="1:24" s="3" customFormat="1" x14ac:dyDescent="0.25">
      <c r="A85" s="2"/>
      <c r="G85" s="2" t="s">
        <v>154</v>
      </c>
    </row>
    <row r="86" spans="1:24" s="3" customFormat="1" x14ac:dyDescent="0.25">
      <c r="A86" s="2">
        <v>40</v>
      </c>
      <c r="B86" s="3">
        <v>3731</v>
      </c>
      <c r="C86" s="3" t="s">
        <v>155</v>
      </c>
      <c r="D86" s="3" t="s">
        <v>132</v>
      </c>
      <c r="E86" s="3" t="s">
        <v>156</v>
      </c>
      <c r="F86" s="3" t="s">
        <v>157</v>
      </c>
      <c r="G86" s="3">
        <v>870.1</v>
      </c>
      <c r="H86" s="3">
        <v>0</v>
      </c>
      <c r="I86" s="3">
        <v>0</v>
      </c>
      <c r="J86" s="3">
        <v>0</v>
      </c>
      <c r="K86" s="3">
        <v>200</v>
      </c>
      <c r="L86" s="3">
        <v>0</v>
      </c>
      <c r="M86" s="3">
        <v>30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W86" s="3">
        <v>0</v>
      </c>
      <c r="X86" s="3">
        <v>1100.0999999999999</v>
      </c>
    </row>
    <row r="87" spans="1:24" s="3" customFormat="1" x14ac:dyDescent="0.25">
      <c r="A87" s="2"/>
      <c r="G87" s="2" t="s">
        <v>158</v>
      </c>
    </row>
    <row r="88" spans="1:24" s="3" customFormat="1" x14ac:dyDescent="0.25">
      <c r="A88" s="2">
        <v>41</v>
      </c>
      <c r="B88" s="3">
        <v>17007</v>
      </c>
      <c r="C88" s="3" t="s">
        <v>160</v>
      </c>
      <c r="D88" s="3" t="s">
        <v>39</v>
      </c>
      <c r="E88" s="3" t="s">
        <v>45</v>
      </c>
      <c r="F88" s="3" t="s">
        <v>161</v>
      </c>
      <c r="G88" s="3">
        <v>897.6</v>
      </c>
      <c r="H88" s="3">
        <v>0</v>
      </c>
      <c r="I88" s="3">
        <v>0</v>
      </c>
      <c r="J88" s="3">
        <v>0</v>
      </c>
      <c r="K88" s="3">
        <v>200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W88" s="3">
        <v>0</v>
      </c>
      <c r="X88" s="3">
        <v>1097.5999999999999</v>
      </c>
    </row>
    <row r="89" spans="1:24" s="3" customFormat="1" x14ac:dyDescent="0.25">
      <c r="A89" s="2"/>
      <c r="G89" s="2" t="s">
        <v>162</v>
      </c>
    </row>
    <row r="90" spans="1:24" s="3" customFormat="1" x14ac:dyDescent="0.25">
      <c r="A90" s="2">
        <v>42</v>
      </c>
      <c r="B90" s="3">
        <v>9999</v>
      </c>
      <c r="C90" s="3" t="s">
        <v>163</v>
      </c>
      <c r="D90" s="3" t="s">
        <v>164</v>
      </c>
      <c r="E90" s="3" t="s">
        <v>165</v>
      </c>
      <c r="F90" s="3" t="s">
        <v>166</v>
      </c>
      <c r="G90" s="3">
        <v>917.4</v>
      </c>
      <c r="H90" s="3">
        <v>150</v>
      </c>
      <c r="I90" s="3">
        <v>0</v>
      </c>
      <c r="J90" s="3">
        <v>0</v>
      </c>
      <c r="K90" s="3">
        <v>0</v>
      </c>
      <c r="L90" s="3">
        <v>0</v>
      </c>
      <c r="M90" s="3">
        <v>30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W90" s="3">
        <v>2</v>
      </c>
      <c r="X90" s="3">
        <v>1097.4000000000001</v>
      </c>
    </row>
    <row r="91" spans="1:24" s="3" customFormat="1" x14ac:dyDescent="0.25">
      <c r="A91" s="2"/>
      <c r="G91" s="2" t="s">
        <v>167</v>
      </c>
    </row>
    <row r="92" spans="1:24" s="3" customFormat="1" x14ac:dyDescent="0.25">
      <c r="A92" s="2">
        <v>43</v>
      </c>
      <c r="B92" s="3">
        <v>13755</v>
      </c>
      <c r="C92" s="3" t="s">
        <v>169</v>
      </c>
      <c r="D92" s="3" t="s">
        <v>170</v>
      </c>
      <c r="E92" s="3" t="s">
        <v>73</v>
      </c>
      <c r="F92" s="3" t="s">
        <v>171</v>
      </c>
      <c r="G92" s="3">
        <v>863.5</v>
      </c>
      <c r="H92" s="3">
        <v>0</v>
      </c>
      <c r="I92" s="3">
        <v>0</v>
      </c>
      <c r="J92" s="3">
        <v>0</v>
      </c>
      <c r="K92" s="3">
        <v>200</v>
      </c>
      <c r="L92" s="3">
        <v>0</v>
      </c>
      <c r="M92" s="3">
        <v>30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W92" s="3">
        <v>1</v>
      </c>
      <c r="X92" s="3">
        <v>1093.5</v>
      </c>
    </row>
    <row r="93" spans="1:24" s="3" customFormat="1" x14ac:dyDescent="0.25">
      <c r="A93" s="2"/>
      <c r="G93" s="2" t="s">
        <v>172</v>
      </c>
    </row>
    <row r="94" spans="1:24" s="3" customFormat="1" x14ac:dyDescent="0.25">
      <c r="A94" s="2">
        <v>44</v>
      </c>
      <c r="B94" s="3">
        <v>380</v>
      </c>
      <c r="C94" s="3" t="s">
        <v>173</v>
      </c>
      <c r="D94" s="3" t="s">
        <v>174</v>
      </c>
      <c r="E94" s="3" t="s">
        <v>84</v>
      </c>
      <c r="F94" s="3" t="s">
        <v>175</v>
      </c>
      <c r="G94" s="3">
        <v>821.7</v>
      </c>
      <c r="H94" s="3">
        <v>0</v>
      </c>
      <c r="I94" s="3">
        <v>0</v>
      </c>
      <c r="J94" s="3">
        <v>0</v>
      </c>
      <c r="K94" s="3">
        <v>200</v>
      </c>
      <c r="L94" s="3">
        <v>0</v>
      </c>
      <c r="M94" s="3">
        <v>70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W94" s="3">
        <v>0</v>
      </c>
      <c r="X94" s="3">
        <v>1091.7</v>
      </c>
    </row>
    <row r="95" spans="1:24" s="3" customFormat="1" x14ac:dyDescent="0.25">
      <c r="A95" s="2"/>
      <c r="G95" s="2" t="s">
        <v>176</v>
      </c>
    </row>
    <row r="96" spans="1:24" s="3" customFormat="1" x14ac:dyDescent="0.25">
      <c r="A96" s="2">
        <v>45</v>
      </c>
      <c r="B96" s="3">
        <v>15391</v>
      </c>
      <c r="C96" s="3" t="s">
        <v>177</v>
      </c>
      <c r="D96" s="3" t="s">
        <v>178</v>
      </c>
      <c r="E96" s="3" t="s">
        <v>39</v>
      </c>
      <c r="F96" s="3" t="s">
        <v>179</v>
      </c>
      <c r="G96" s="3">
        <v>829.4</v>
      </c>
      <c r="H96" s="3">
        <v>0</v>
      </c>
      <c r="I96" s="3">
        <v>0</v>
      </c>
      <c r="J96" s="3">
        <v>0</v>
      </c>
      <c r="K96" s="3">
        <v>200</v>
      </c>
      <c r="L96" s="3">
        <v>0</v>
      </c>
      <c r="M96" s="3">
        <v>30</v>
      </c>
      <c r="N96" s="3">
        <v>30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W96" s="3">
        <v>0</v>
      </c>
      <c r="X96" s="3">
        <v>1089.4000000000001</v>
      </c>
    </row>
    <row r="97" spans="1:24" s="3" customFormat="1" x14ac:dyDescent="0.25">
      <c r="A97" s="2"/>
      <c r="G97" s="2" t="s">
        <v>180</v>
      </c>
    </row>
    <row r="98" spans="1:24" s="3" customFormat="1" x14ac:dyDescent="0.25">
      <c r="A98" s="2">
        <v>46</v>
      </c>
      <c r="B98" s="3">
        <v>11272</v>
      </c>
      <c r="C98" s="3" t="s">
        <v>181</v>
      </c>
      <c r="D98" s="3" t="s">
        <v>182</v>
      </c>
      <c r="E98" s="3" t="s">
        <v>183</v>
      </c>
      <c r="F98" s="3" t="s">
        <v>184</v>
      </c>
      <c r="G98" s="3">
        <v>858</v>
      </c>
      <c r="H98" s="3">
        <v>0</v>
      </c>
      <c r="I98" s="3">
        <v>0</v>
      </c>
      <c r="J98" s="3">
        <v>0</v>
      </c>
      <c r="K98" s="3">
        <v>200</v>
      </c>
      <c r="L98" s="3">
        <v>0</v>
      </c>
      <c r="M98" s="3">
        <v>30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W98" s="3">
        <v>0</v>
      </c>
      <c r="X98" s="3">
        <v>1088</v>
      </c>
    </row>
    <row r="99" spans="1:24" s="3" customFormat="1" x14ac:dyDescent="0.25">
      <c r="A99" s="2"/>
      <c r="G99" s="2" t="s">
        <v>185</v>
      </c>
    </row>
    <row r="100" spans="1:24" s="3" customFormat="1" x14ac:dyDescent="0.25">
      <c r="A100" s="2">
        <v>47</v>
      </c>
      <c r="B100" s="3">
        <v>1487</v>
      </c>
      <c r="C100" s="3" t="s">
        <v>187</v>
      </c>
      <c r="D100" s="3" t="s">
        <v>188</v>
      </c>
      <c r="E100" s="3" t="s">
        <v>189</v>
      </c>
      <c r="F100" s="3" t="s">
        <v>190</v>
      </c>
      <c r="G100" s="3">
        <v>886.6</v>
      </c>
      <c r="H100" s="3">
        <v>0</v>
      </c>
      <c r="I100" s="3">
        <v>0</v>
      </c>
      <c r="J100" s="3">
        <v>0</v>
      </c>
      <c r="K100" s="3">
        <v>200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W100" s="3">
        <v>0</v>
      </c>
      <c r="X100" s="3">
        <v>1086.5999999999999</v>
      </c>
    </row>
    <row r="101" spans="1:24" s="3" customFormat="1" x14ac:dyDescent="0.25">
      <c r="A101" s="2"/>
      <c r="G101" s="2" t="s">
        <v>191</v>
      </c>
    </row>
    <row r="102" spans="1:24" s="3" customFormat="1" x14ac:dyDescent="0.25">
      <c r="A102" s="2">
        <v>48</v>
      </c>
      <c r="B102" s="3">
        <v>13861</v>
      </c>
      <c r="C102" s="3" t="s">
        <v>192</v>
      </c>
      <c r="D102" s="3" t="s">
        <v>193</v>
      </c>
      <c r="E102" s="3" t="s">
        <v>194</v>
      </c>
      <c r="F102" s="3" t="s">
        <v>195</v>
      </c>
      <c r="G102" s="3">
        <v>1015.3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70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W102" s="3">
        <v>0</v>
      </c>
      <c r="X102" s="3">
        <v>1085.3</v>
      </c>
    </row>
    <row r="103" spans="1:24" s="3" customFormat="1" x14ac:dyDescent="0.25">
      <c r="A103" s="2"/>
      <c r="G103" s="2" t="s">
        <v>196</v>
      </c>
    </row>
    <row r="104" spans="1:24" s="3" customFormat="1" x14ac:dyDescent="0.25">
      <c r="A104" s="2">
        <v>49</v>
      </c>
      <c r="B104" s="3">
        <v>7629</v>
      </c>
      <c r="C104" s="3" t="s">
        <v>197</v>
      </c>
      <c r="D104" s="3" t="s">
        <v>198</v>
      </c>
      <c r="E104" s="3" t="s">
        <v>199</v>
      </c>
      <c r="F104" s="3" t="s">
        <v>200</v>
      </c>
      <c r="G104" s="3">
        <v>854.7</v>
      </c>
      <c r="H104" s="3">
        <v>0</v>
      </c>
      <c r="I104" s="3">
        <v>0</v>
      </c>
      <c r="J104" s="3">
        <v>0</v>
      </c>
      <c r="K104" s="3">
        <v>200</v>
      </c>
      <c r="L104" s="3">
        <v>0</v>
      </c>
      <c r="M104" s="3">
        <v>30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W104" s="3">
        <v>0</v>
      </c>
      <c r="X104" s="3">
        <v>1084.7</v>
      </c>
    </row>
    <row r="105" spans="1:24" s="3" customFormat="1" x14ac:dyDescent="0.25">
      <c r="A105" s="2"/>
      <c r="G105" s="2" t="s">
        <v>201</v>
      </c>
    </row>
    <row r="106" spans="1:24" s="3" customFormat="1" x14ac:dyDescent="0.25">
      <c r="A106" s="2">
        <v>50</v>
      </c>
      <c r="B106" s="3">
        <v>4880</v>
      </c>
      <c r="C106" s="3" t="s">
        <v>202</v>
      </c>
      <c r="D106" s="3" t="s">
        <v>203</v>
      </c>
      <c r="E106" s="3" t="s">
        <v>204</v>
      </c>
      <c r="F106" s="3" t="s">
        <v>205</v>
      </c>
      <c r="G106" s="3">
        <v>833.8</v>
      </c>
      <c r="H106" s="3">
        <v>0</v>
      </c>
      <c r="I106" s="3">
        <v>0</v>
      </c>
      <c r="J106" s="3">
        <v>0</v>
      </c>
      <c r="K106" s="3">
        <v>200</v>
      </c>
      <c r="L106" s="3">
        <v>0</v>
      </c>
      <c r="M106" s="3">
        <v>50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W106" s="3">
        <v>0</v>
      </c>
      <c r="X106" s="3">
        <v>1083.8</v>
      </c>
    </row>
    <row r="107" spans="1:24" s="3" customFormat="1" x14ac:dyDescent="0.25">
      <c r="A107" s="2"/>
      <c r="G107" s="2" t="s">
        <v>206</v>
      </c>
    </row>
    <row r="108" spans="1:24" s="3" customFormat="1" x14ac:dyDescent="0.25">
      <c r="A108" s="2">
        <v>51</v>
      </c>
      <c r="B108" s="3">
        <v>10113</v>
      </c>
      <c r="C108" s="3" t="s">
        <v>207</v>
      </c>
      <c r="D108" s="3" t="s">
        <v>208</v>
      </c>
      <c r="E108" s="3" t="s">
        <v>73</v>
      </c>
      <c r="F108" s="3" t="s">
        <v>209</v>
      </c>
      <c r="G108" s="3">
        <v>1023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30</v>
      </c>
      <c r="N108" s="3">
        <v>0</v>
      </c>
      <c r="O108" s="3">
        <v>0</v>
      </c>
      <c r="P108" s="3">
        <v>0</v>
      </c>
      <c r="Q108" s="3">
        <v>30</v>
      </c>
      <c r="R108" s="3">
        <v>0</v>
      </c>
      <c r="S108" s="3">
        <v>0</v>
      </c>
      <c r="T108" s="3">
        <v>0</v>
      </c>
      <c r="U108" s="3">
        <v>0</v>
      </c>
      <c r="W108" s="3">
        <v>0</v>
      </c>
      <c r="X108" s="3">
        <v>1083</v>
      </c>
    </row>
    <row r="109" spans="1:24" s="3" customFormat="1" x14ac:dyDescent="0.25">
      <c r="A109" s="2"/>
      <c r="G109" s="2" t="s">
        <v>210</v>
      </c>
    </row>
    <row r="110" spans="1:24" s="3" customFormat="1" x14ac:dyDescent="0.25">
      <c r="A110" s="2">
        <v>52</v>
      </c>
      <c r="B110" s="3">
        <v>6572</v>
      </c>
      <c r="C110" s="3" t="s">
        <v>211</v>
      </c>
      <c r="D110" s="3" t="s">
        <v>89</v>
      </c>
      <c r="E110" s="3" t="s">
        <v>126</v>
      </c>
      <c r="F110" s="3" t="s">
        <v>212</v>
      </c>
      <c r="G110" s="3">
        <v>861.3</v>
      </c>
      <c r="H110" s="3">
        <v>150</v>
      </c>
      <c r="I110" s="3">
        <v>0</v>
      </c>
      <c r="J110" s="3">
        <v>0</v>
      </c>
      <c r="K110" s="3">
        <v>0</v>
      </c>
      <c r="L110" s="3">
        <v>0</v>
      </c>
      <c r="M110" s="3">
        <v>70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W110" s="3">
        <v>0</v>
      </c>
      <c r="X110" s="3">
        <v>1081.3</v>
      </c>
    </row>
    <row r="111" spans="1:24" s="3" customFormat="1" x14ac:dyDescent="0.25">
      <c r="A111" s="2"/>
      <c r="G111" s="2" t="s">
        <v>213</v>
      </c>
    </row>
    <row r="112" spans="1:24" s="3" customFormat="1" x14ac:dyDescent="0.25">
      <c r="A112" s="2">
        <v>53</v>
      </c>
      <c r="B112" s="3">
        <v>10089</v>
      </c>
      <c r="C112" s="3" t="s">
        <v>214</v>
      </c>
      <c r="D112" s="3" t="s">
        <v>112</v>
      </c>
      <c r="E112" s="3" t="s">
        <v>127</v>
      </c>
      <c r="F112" s="3" t="s">
        <v>215</v>
      </c>
      <c r="G112" s="3">
        <v>1050.5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30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W112" s="3">
        <v>1</v>
      </c>
      <c r="X112" s="3">
        <v>1080.5</v>
      </c>
    </row>
    <row r="113" spans="1:24" s="3" customFormat="1" x14ac:dyDescent="0.25">
      <c r="A113" s="2"/>
      <c r="G113" s="2" t="s">
        <v>216</v>
      </c>
    </row>
    <row r="114" spans="1:24" s="3" customFormat="1" x14ac:dyDescent="0.25">
      <c r="A114" s="2">
        <v>54</v>
      </c>
      <c r="B114" s="3">
        <v>1168</v>
      </c>
      <c r="C114" s="3" t="s">
        <v>217</v>
      </c>
      <c r="D114" s="3" t="s">
        <v>218</v>
      </c>
      <c r="E114" s="3" t="s">
        <v>16</v>
      </c>
      <c r="F114" s="3" t="s">
        <v>219</v>
      </c>
      <c r="G114" s="3">
        <v>850.3</v>
      </c>
      <c r="H114" s="3">
        <v>0</v>
      </c>
      <c r="I114" s="3">
        <v>0</v>
      </c>
      <c r="J114" s="3">
        <v>0</v>
      </c>
      <c r="K114" s="3">
        <v>200</v>
      </c>
      <c r="L114" s="3">
        <v>0</v>
      </c>
      <c r="M114" s="3">
        <v>30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W114" s="3">
        <v>0</v>
      </c>
      <c r="X114" s="3">
        <v>1080.3</v>
      </c>
    </row>
    <row r="115" spans="1:24" s="3" customFormat="1" x14ac:dyDescent="0.25">
      <c r="A115" s="2"/>
      <c r="G115" s="2" t="s">
        <v>220</v>
      </c>
    </row>
    <row r="116" spans="1:24" s="3" customFormat="1" x14ac:dyDescent="0.25">
      <c r="A116" s="2">
        <v>55</v>
      </c>
      <c r="B116" s="3">
        <v>9626</v>
      </c>
      <c r="C116" s="3" t="s">
        <v>221</v>
      </c>
      <c r="D116" s="3" t="s">
        <v>112</v>
      </c>
      <c r="E116" s="3" t="s">
        <v>84</v>
      </c>
      <c r="F116" s="3" t="s">
        <v>222</v>
      </c>
      <c r="G116" s="3">
        <v>880</v>
      </c>
      <c r="H116" s="3">
        <v>0</v>
      </c>
      <c r="I116" s="3">
        <v>0</v>
      </c>
      <c r="J116" s="3">
        <v>0</v>
      </c>
      <c r="K116" s="3">
        <v>200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W116" s="3">
        <v>0</v>
      </c>
      <c r="X116" s="3">
        <v>1080</v>
      </c>
    </row>
    <row r="117" spans="1:24" s="3" customFormat="1" x14ac:dyDescent="0.25">
      <c r="A117" s="2"/>
      <c r="G117" s="2" t="s">
        <v>223</v>
      </c>
    </row>
    <row r="118" spans="1:24" s="3" customFormat="1" x14ac:dyDescent="0.25">
      <c r="A118" s="2">
        <v>56</v>
      </c>
      <c r="B118" s="3">
        <v>7707</v>
      </c>
      <c r="C118" s="3" t="s">
        <v>224</v>
      </c>
      <c r="D118" s="3" t="s">
        <v>182</v>
      </c>
      <c r="E118" s="3" t="s">
        <v>79</v>
      </c>
      <c r="F118" s="3" t="s">
        <v>225</v>
      </c>
      <c r="G118" s="3">
        <v>899.8</v>
      </c>
      <c r="H118" s="3">
        <v>150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30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W118" s="3">
        <v>0</v>
      </c>
      <c r="X118" s="3">
        <v>1079.8</v>
      </c>
    </row>
    <row r="119" spans="1:24" s="3" customFormat="1" x14ac:dyDescent="0.25">
      <c r="A119" s="2"/>
      <c r="G119" s="2" t="s">
        <v>226</v>
      </c>
    </row>
    <row r="120" spans="1:24" s="3" customFormat="1" x14ac:dyDescent="0.25">
      <c r="A120" s="2">
        <v>57</v>
      </c>
      <c r="B120" s="3">
        <v>16298</v>
      </c>
      <c r="C120" s="3" t="s">
        <v>227</v>
      </c>
      <c r="D120" s="3" t="s">
        <v>98</v>
      </c>
      <c r="E120" s="3" t="s">
        <v>73</v>
      </c>
      <c r="F120" s="3" t="s">
        <v>228</v>
      </c>
      <c r="G120" s="3">
        <v>849.2</v>
      </c>
      <c r="H120" s="3">
        <v>0</v>
      </c>
      <c r="I120" s="3">
        <v>0</v>
      </c>
      <c r="J120" s="3">
        <v>0</v>
      </c>
      <c r="K120" s="3">
        <v>200</v>
      </c>
      <c r="L120" s="3">
        <v>0</v>
      </c>
      <c r="M120" s="3">
        <v>30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W120" s="3">
        <v>0</v>
      </c>
      <c r="X120" s="3">
        <v>1079.2</v>
      </c>
    </row>
    <row r="121" spans="1:24" s="3" customFormat="1" x14ac:dyDescent="0.25">
      <c r="A121" s="2"/>
      <c r="G121" s="2" t="s">
        <v>229</v>
      </c>
    </row>
    <row r="122" spans="1:24" s="3" customFormat="1" x14ac:dyDescent="0.25">
      <c r="A122" s="2">
        <v>58</v>
      </c>
      <c r="B122" s="3">
        <v>8880</v>
      </c>
      <c r="C122" s="3" t="s">
        <v>230</v>
      </c>
      <c r="D122" s="3" t="s">
        <v>231</v>
      </c>
      <c r="E122" s="3" t="s">
        <v>16</v>
      </c>
      <c r="F122" s="3" t="s">
        <v>232</v>
      </c>
      <c r="G122" s="3">
        <v>844.8</v>
      </c>
      <c r="H122" s="3">
        <v>0</v>
      </c>
      <c r="I122" s="3">
        <v>0</v>
      </c>
      <c r="J122" s="3">
        <v>0</v>
      </c>
      <c r="K122" s="3">
        <v>200</v>
      </c>
      <c r="L122" s="3">
        <v>0</v>
      </c>
      <c r="M122" s="3">
        <v>30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W122" s="3">
        <v>0</v>
      </c>
      <c r="X122" s="3">
        <v>1074.8</v>
      </c>
    </row>
    <row r="123" spans="1:24" s="3" customFormat="1" x14ac:dyDescent="0.25">
      <c r="A123" s="2"/>
      <c r="G123" s="2" t="s">
        <v>233</v>
      </c>
    </row>
    <row r="124" spans="1:24" s="3" customFormat="1" x14ac:dyDescent="0.25">
      <c r="A124" s="2">
        <v>59</v>
      </c>
      <c r="B124" s="3">
        <v>12919</v>
      </c>
      <c r="C124" s="3" t="s">
        <v>234</v>
      </c>
      <c r="D124" s="3" t="s">
        <v>235</v>
      </c>
      <c r="E124" s="3" t="s">
        <v>236</v>
      </c>
      <c r="F124" s="3" t="s">
        <v>237</v>
      </c>
      <c r="G124" s="3">
        <v>844.8</v>
      </c>
      <c r="H124" s="3">
        <v>0</v>
      </c>
      <c r="I124" s="3">
        <v>0</v>
      </c>
      <c r="J124" s="3">
        <v>0</v>
      </c>
      <c r="K124" s="3">
        <v>200</v>
      </c>
      <c r="L124" s="3">
        <v>0</v>
      </c>
      <c r="M124" s="3">
        <v>30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W124" s="3">
        <v>0</v>
      </c>
      <c r="X124" s="3">
        <v>1074.8</v>
      </c>
    </row>
    <row r="125" spans="1:24" s="3" customFormat="1" x14ac:dyDescent="0.25">
      <c r="A125" s="2"/>
      <c r="G125" s="2" t="s">
        <v>238</v>
      </c>
    </row>
    <row r="126" spans="1:24" s="3" customFormat="1" x14ac:dyDescent="0.25">
      <c r="A126" s="2">
        <v>60</v>
      </c>
      <c r="B126" s="3">
        <v>8686</v>
      </c>
      <c r="C126" s="3" t="s">
        <v>239</v>
      </c>
      <c r="D126" s="3" t="s">
        <v>143</v>
      </c>
      <c r="E126" s="3" t="s">
        <v>240</v>
      </c>
      <c r="F126" s="3" t="s">
        <v>241</v>
      </c>
      <c r="G126" s="3">
        <v>842.6</v>
      </c>
      <c r="H126" s="3">
        <v>0</v>
      </c>
      <c r="I126" s="3">
        <v>0</v>
      </c>
      <c r="J126" s="3">
        <v>0</v>
      </c>
      <c r="K126" s="3">
        <v>200</v>
      </c>
      <c r="L126" s="3">
        <v>0</v>
      </c>
      <c r="M126" s="3">
        <v>30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W126" s="3">
        <v>0</v>
      </c>
      <c r="X126" s="3">
        <v>1072.5999999999999</v>
      </c>
    </row>
    <row r="127" spans="1:24" s="3" customFormat="1" x14ac:dyDescent="0.25">
      <c r="A127" s="2"/>
      <c r="G127" s="2" t="s">
        <v>242</v>
      </c>
    </row>
    <row r="128" spans="1:24" s="3" customFormat="1" x14ac:dyDescent="0.25">
      <c r="A128" s="2">
        <v>61</v>
      </c>
      <c r="B128" s="3">
        <v>5059</v>
      </c>
      <c r="C128" s="3" t="s">
        <v>244</v>
      </c>
      <c r="D128" s="3" t="s">
        <v>107</v>
      </c>
      <c r="E128" s="3" t="s">
        <v>73</v>
      </c>
      <c r="F128" s="3" t="s">
        <v>245</v>
      </c>
      <c r="G128" s="3">
        <v>841.5</v>
      </c>
      <c r="H128" s="3">
        <v>0</v>
      </c>
      <c r="I128" s="3">
        <v>0</v>
      </c>
      <c r="J128" s="3">
        <v>0</v>
      </c>
      <c r="K128" s="3">
        <v>200</v>
      </c>
      <c r="L128" s="3">
        <v>0</v>
      </c>
      <c r="M128" s="3">
        <v>30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W128" s="3">
        <v>2</v>
      </c>
      <c r="X128" s="3">
        <v>1071.5</v>
      </c>
    </row>
    <row r="129" spans="1:24" s="3" customFormat="1" x14ac:dyDescent="0.25">
      <c r="A129" s="2"/>
      <c r="G129" s="2" t="s">
        <v>246</v>
      </c>
    </row>
    <row r="130" spans="1:24" s="3" customFormat="1" x14ac:dyDescent="0.25">
      <c r="A130" s="2">
        <v>62</v>
      </c>
      <c r="B130" s="3">
        <v>7103</v>
      </c>
      <c r="C130" s="3" t="s">
        <v>247</v>
      </c>
      <c r="D130" s="3" t="s">
        <v>248</v>
      </c>
      <c r="E130" s="3" t="s">
        <v>90</v>
      </c>
      <c r="F130" s="3" t="s">
        <v>249</v>
      </c>
      <c r="G130" s="3">
        <v>838.2</v>
      </c>
      <c r="H130" s="3">
        <v>0</v>
      </c>
      <c r="I130" s="3">
        <v>0</v>
      </c>
      <c r="J130" s="3">
        <v>0</v>
      </c>
      <c r="K130" s="3">
        <v>200</v>
      </c>
      <c r="L130" s="3">
        <v>0</v>
      </c>
      <c r="M130" s="3">
        <v>30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W130" s="3">
        <v>0</v>
      </c>
      <c r="X130" s="3">
        <v>1068.2</v>
      </c>
    </row>
    <row r="131" spans="1:24" s="3" customFormat="1" x14ac:dyDescent="0.25">
      <c r="A131" s="2"/>
      <c r="G131" s="2" t="s">
        <v>250</v>
      </c>
    </row>
    <row r="132" spans="1:24" s="3" customFormat="1" x14ac:dyDescent="0.25">
      <c r="A132" s="2">
        <v>63</v>
      </c>
      <c r="B132" s="3">
        <v>14088</v>
      </c>
      <c r="C132" s="3" t="s">
        <v>251</v>
      </c>
      <c r="D132" s="3" t="s">
        <v>252</v>
      </c>
      <c r="E132" s="3" t="s">
        <v>78</v>
      </c>
      <c r="F132" s="3" t="s">
        <v>253</v>
      </c>
      <c r="G132" s="3">
        <v>797.5</v>
      </c>
      <c r="H132" s="3">
        <v>0</v>
      </c>
      <c r="I132" s="3">
        <v>0</v>
      </c>
      <c r="J132" s="3">
        <v>0</v>
      </c>
      <c r="K132" s="3">
        <v>200</v>
      </c>
      <c r="L132" s="3">
        <v>0</v>
      </c>
      <c r="M132" s="3">
        <v>70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W132" s="3">
        <v>0</v>
      </c>
      <c r="X132" s="3">
        <v>1067.5</v>
      </c>
    </row>
    <row r="133" spans="1:24" s="3" customFormat="1" x14ac:dyDescent="0.25">
      <c r="A133" s="2"/>
      <c r="G133" s="2" t="s">
        <v>254</v>
      </c>
    </row>
    <row r="134" spans="1:24" s="3" customFormat="1" x14ac:dyDescent="0.25">
      <c r="A134" s="2">
        <v>64</v>
      </c>
      <c r="B134" s="3">
        <v>4758</v>
      </c>
      <c r="C134" s="3" t="s">
        <v>255</v>
      </c>
      <c r="D134" s="3" t="s">
        <v>256</v>
      </c>
      <c r="E134" s="3" t="s">
        <v>39</v>
      </c>
      <c r="F134" s="3" t="s">
        <v>257</v>
      </c>
      <c r="G134" s="3">
        <v>797.5</v>
      </c>
      <c r="H134" s="3">
        <v>0</v>
      </c>
      <c r="I134" s="3">
        <v>0</v>
      </c>
      <c r="J134" s="3">
        <v>0</v>
      </c>
      <c r="K134" s="3">
        <v>200</v>
      </c>
      <c r="L134" s="3">
        <v>0</v>
      </c>
      <c r="M134" s="3">
        <v>70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W134" s="3">
        <v>0</v>
      </c>
      <c r="X134" s="3">
        <v>1067.5</v>
      </c>
    </row>
    <row r="135" spans="1:24" s="3" customFormat="1" x14ac:dyDescent="0.25">
      <c r="A135" s="2"/>
      <c r="G135" s="2" t="s">
        <v>258</v>
      </c>
    </row>
    <row r="136" spans="1:24" s="3" customFormat="1" x14ac:dyDescent="0.25">
      <c r="A136" s="2">
        <v>65</v>
      </c>
      <c r="B136" s="3">
        <v>23</v>
      </c>
      <c r="C136" s="3" t="s">
        <v>259</v>
      </c>
      <c r="D136" s="3" t="s">
        <v>260</v>
      </c>
      <c r="E136" s="3" t="s">
        <v>51</v>
      </c>
      <c r="F136" s="3" t="s">
        <v>261</v>
      </c>
      <c r="G136" s="3">
        <v>837.1</v>
      </c>
      <c r="H136" s="3">
        <v>0</v>
      </c>
      <c r="I136" s="3">
        <v>0</v>
      </c>
      <c r="J136" s="3">
        <v>0</v>
      </c>
      <c r="K136" s="3">
        <v>200</v>
      </c>
      <c r="L136" s="3">
        <v>0</v>
      </c>
      <c r="M136" s="3">
        <v>30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W136" s="3">
        <v>0</v>
      </c>
      <c r="X136" s="3">
        <v>1067.0999999999999</v>
      </c>
    </row>
    <row r="137" spans="1:24" s="3" customFormat="1" x14ac:dyDescent="0.25">
      <c r="A137" s="2"/>
      <c r="G137" s="2" t="s">
        <v>262</v>
      </c>
    </row>
    <row r="138" spans="1:24" s="3" customFormat="1" x14ac:dyDescent="0.25">
      <c r="A138" s="2">
        <v>66</v>
      </c>
      <c r="B138" s="3">
        <v>3744</v>
      </c>
      <c r="C138" s="3" t="s">
        <v>263</v>
      </c>
      <c r="D138" s="3" t="s">
        <v>264</v>
      </c>
      <c r="E138" s="3" t="s">
        <v>127</v>
      </c>
      <c r="F138" s="3" t="s">
        <v>265</v>
      </c>
      <c r="G138" s="3">
        <v>836</v>
      </c>
      <c r="H138" s="3">
        <v>0</v>
      </c>
      <c r="I138" s="3">
        <v>0</v>
      </c>
      <c r="J138" s="3">
        <v>0</v>
      </c>
      <c r="K138" s="3">
        <v>200</v>
      </c>
      <c r="L138" s="3">
        <v>0</v>
      </c>
      <c r="M138" s="3">
        <v>30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W138" s="3">
        <v>0</v>
      </c>
      <c r="X138" s="3">
        <v>1066</v>
      </c>
    </row>
    <row r="139" spans="1:24" s="3" customFormat="1" x14ac:dyDescent="0.25">
      <c r="A139" s="2"/>
      <c r="G139" s="2" t="s">
        <v>266</v>
      </c>
    </row>
    <row r="140" spans="1:24" s="3" customFormat="1" x14ac:dyDescent="0.25">
      <c r="A140" s="2">
        <v>67</v>
      </c>
      <c r="B140" s="3">
        <v>6303</v>
      </c>
      <c r="C140" s="3" t="s">
        <v>267</v>
      </c>
      <c r="D140" s="3" t="s">
        <v>39</v>
      </c>
      <c r="E140" s="3" t="s">
        <v>268</v>
      </c>
      <c r="F140" s="3" t="s">
        <v>269</v>
      </c>
      <c r="G140" s="3">
        <v>836</v>
      </c>
      <c r="H140" s="3">
        <v>0</v>
      </c>
      <c r="I140" s="3">
        <v>0</v>
      </c>
      <c r="J140" s="3">
        <v>0</v>
      </c>
      <c r="K140" s="3">
        <v>200</v>
      </c>
      <c r="L140" s="3">
        <v>0</v>
      </c>
      <c r="M140" s="3">
        <v>30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W140" s="3">
        <v>0</v>
      </c>
      <c r="X140" s="3">
        <v>1066</v>
      </c>
    </row>
    <row r="141" spans="1:24" s="3" customFormat="1" x14ac:dyDescent="0.25">
      <c r="A141" s="2"/>
      <c r="G141" s="2" t="s">
        <v>270</v>
      </c>
    </row>
    <row r="142" spans="1:24" s="3" customFormat="1" x14ac:dyDescent="0.25">
      <c r="A142" s="2">
        <v>68</v>
      </c>
      <c r="B142" s="3">
        <v>632</v>
      </c>
      <c r="C142" s="3" t="s">
        <v>271</v>
      </c>
      <c r="D142" s="3" t="s">
        <v>235</v>
      </c>
      <c r="E142" s="3" t="s">
        <v>90</v>
      </c>
      <c r="F142" s="3" t="s">
        <v>272</v>
      </c>
      <c r="G142" s="3">
        <v>834.9</v>
      </c>
      <c r="H142" s="3">
        <v>0</v>
      </c>
      <c r="I142" s="3">
        <v>0</v>
      </c>
      <c r="J142" s="3">
        <v>0</v>
      </c>
      <c r="K142" s="3">
        <v>200</v>
      </c>
      <c r="L142" s="3">
        <v>0</v>
      </c>
      <c r="M142" s="3">
        <v>30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W142" s="3">
        <v>0</v>
      </c>
      <c r="X142" s="3">
        <v>1064.9000000000001</v>
      </c>
    </row>
    <row r="143" spans="1:24" s="3" customFormat="1" x14ac:dyDescent="0.25">
      <c r="A143" s="2"/>
      <c r="G143" s="2" t="s">
        <v>273</v>
      </c>
    </row>
    <row r="144" spans="1:24" s="3" customFormat="1" x14ac:dyDescent="0.25">
      <c r="A144" s="2">
        <v>69</v>
      </c>
      <c r="B144" s="3">
        <v>1085</v>
      </c>
      <c r="C144" s="3" t="s">
        <v>274</v>
      </c>
      <c r="D144" s="3" t="s">
        <v>275</v>
      </c>
      <c r="E144" s="3" t="s">
        <v>39</v>
      </c>
      <c r="F144" s="3" t="s">
        <v>276</v>
      </c>
      <c r="G144" s="3">
        <v>832.7</v>
      </c>
      <c r="H144" s="3">
        <v>0</v>
      </c>
      <c r="I144" s="3">
        <v>0</v>
      </c>
      <c r="J144" s="3">
        <v>0</v>
      </c>
      <c r="K144" s="3">
        <v>200</v>
      </c>
      <c r="L144" s="3">
        <v>0</v>
      </c>
      <c r="M144" s="3">
        <v>30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W144" s="3">
        <v>0</v>
      </c>
      <c r="X144" s="3">
        <v>1062.7</v>
      </c>
    </row>
    <row r="145" spans="1:24" s="3" customFormat="1" x14ac:dyDescent="0.25">
      <c r="A145" s="2"/>
      <c r="G145" s="2" t="s">
        <v>277</v>
      </c>
    </row>
    <row r="146" spans="1:24" s="3" customFormat="1" x14ac:dyDescent="0.25">
      <c r="A146" s="2">
        <v>70</v>
      </c>
      <c r="B146" s="3">
        <v>5144</v>
      </c>
      <c r="C146" s="3" t="s">
        <v>278</v>
      </c>
      <c r="D146" s="3" t="s">
        <v>279</v>
      </c>
      <c r="E146" s="3" t="s">
        <v>194</v>
      </c>
      <c r="F146" s="3" t="s">
        <v>280</v>
      </c>
      <c r="G146" s="3">
        <v>831.6</v>
      </c>
      <c r="H146" s="3">
        <v>0</v>
      </c>
      <c r="I146" s="3">
        <v>0</v>
      </c>
      <c r="J146" s="3">
        <v>0</v>
      </c>
      <c r="K146" s="3">
        <v>200</v>
      </c>
      <c r="L146" s="3">
        <v>0</v>
      </c>
      <c r="M146" s="3">
        <v>30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W146" s="3">
        <v>0</v>
      </c>
      <c r="X146" s="3">
        <v>1061.5999999999999</v>
      </c>
    </row>
    <row r="147" spans="1:24" s="3" customFormat="1" x14ac:dyDescent="0.25">
      <c r="A147" s="2"/>
      <c r="G147" s="2" t="s">
        <v>281</v>
      </c>
    </row>
    <row r="148" spans="1:24" s="3" customFormat="1" x14ac:dyDescent="0.25">
      <c r="A148" s="2">
        <v>71</v>
      </c>
      <c r="B148" s="3">
        <v>8109</v>
      </c>
      <c r="C148" s="3" t="s">
        <v>283</v>
      </c>
      <c r="D148" s="3" t="s">
        <v>284</v>
      </c>
      <c r="E148" s="3" t="s">
        <v>285</v>
      </c>
      <c r="F148" s="3" t="s">
        <v>286</v>
      </c>
      <c r="G148" s="3">
        <v>770</v>
      </c>
      <c r="H148" s="3">
        <v>0</v>
      </c>
      <c r="I148" s="3">
        <v>0</v>
      </c>
      <c r="J148" s="3">
        <v>0</v>
      </c>
      <c r="K148" s="3">
        <v>260</v>
      </c>
      <c r="L148" s="3">
        <v>0</v>
      </c>
      <c r="M148" s="3">
        <v>30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W148" s="3">
        <v>0</v>
      </c>
      <c r="X148" s="3">
        <v>1060</v>
      </c>
    </row>
    <row r="149" spans="1:24" s="3" customFormat="1" x14ac:dyDescent="0.25">
      <c r="A149" s="2"/>
      <c r="G149" s="2" t="s">
        <v>287</v>
      </c>
    </row>
    <row r="150" spans="1:24" s="3" customFormat="1" x14ac:dyDescent="0.25">
      <c r="A150" s="2">
        <v>72</v>
      </c>
      <c r="B150" s="3">
        <v>13923</v>
      </c>
      <c r="C150" s="3" t="s">
        <v>288</v>
      </c>
      <c r="D150" s="3" t="s">
        <v>289</v>
      </c>
      <c r="E150" s="3" t="s">
        <v>290</v>
      </c>
      <c r="F150" s="3" t="s">
        <v>291</v>
      </c>
      <c r="G150" s="3">
        <v>789.8</v>
      </c>
      <c r="H150" s="3">
        <v>0</v>
      </c>
      <c r="I150" s="3">
        <v>0</v>
      </c>
      <c r="J150" s="3">
        <v>0</v>
      </c>
      <c r="K150" s="3">
        <v>200</v>
      </c>
      <c r="L150" s="3">
        <v>0</v>
      </c>
      <c r="M150" s="3">
        <v>70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W150" s="3">
        <v>0</v>
      </c>
      <c r="X150" s="3">
        <v>1059.8</v>
      </c>
    </row>
    <row r="151" spans="1:24" s="3" customFormat="1" x14ac:dyDescent="0.25">
      <c r="A151" s="2"/>
      <c r="G151" s="2" t="s">
        <v>292</v>
      </c>
    </row>
    <row r="152" spans="1:24" s="3" customFormat="1" x14ac:dyDescent="0.25">
      <c r="A152" s="2">
        <v>73</v>
      </c>
      <c r="B152" s="3">
        <v>10458</v>
      </c>
      <c r="C152" s="3" t="s">
        <v>293</v>
      </c>
      <c r="D152" s="3" t="s">
        <v>294</v>
      </c>
      <c r="E152" s="3" t="s">
        <v>144</v>
      </c>
      <c r="F152" s="3" t="s">
        <v>295</v>
      </c>
      <c r="G152" s="3">
        <v>789.8</v>
      </c>
      <c r="H152" s="3">
        <v>0</v>
      </c>
      <c r="I152" s="3">
        <v>0</v>
      </c>
      <c r="J152" s="3">
        <v>0</v>
      </c>
      <c r="K152" s="3">
        <v>200</v>
      </c>
      <c r="L152" s="3">
        <v>0</v>
      </c>
      <c r="M152" s="3">
        <v>70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W152" s="3">
        <v>0</v>
      </c>
      <c r="X152" s="3">
        <v>1059.8</v>
      </c>
    </row>
    <row r="153" spans="1:24" s="3" customFormat="1" x14ac:dyDescent="0.25">
      <c r="A153" s="2"/>
      <c r="G153" s="2" t="s">
        <v>296</v>
      </c>
    </row>
    <row r="154" spans="1:24" s="3" customFormat="1" x14ac:dyDescent="0.25">
      <c r="A154" s="2">
        <v>74</v>
      </c>
      <c r="B154" s="3">
        <v>10759</v>
      </c>
      <c r="C154" s="3" t="s">
        <v>297</v>
      </c>
      <c r="D154" s="3" t="s">
        <v>107</v>
      </c>
      <c r="E154" s="3" t="s">
        <v>298</v>
      </c>
      <c r="F154" s="3" t="s">
        <v>299</v>
      </c>
      <c r="G154" s="3">
        <v>789.8</v>
      </c>
      <c r="H154" s="3">
        <v>0</v>
      </c>
      <c r="I154" s="3">
        <v>0</v>
      </c>
      <c r="J154" s="3">
        <v>0</v>
      </c>
      <c r="K154" s="3">
        <v>200</v>
      </c>
      <c r="L154" s="3">
        <v>0</v>
      </c>
      <c r="M154" s="3">
        <v>70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W154" s="3">
        <v>0</v>
      </c>
      <c r="X154" s="3">
        <v>1059.8</v>
      </c>
    </row>
    <row r="155" spans="1:24" s="3" customFormat="1" x14ac:dyDescent="0.25">
      <c r="A155" s="2"/>
      <c r="G155" s="2" t="s">
        <v>300</v>
      </c>
    </row>
    <row r="156" spans="1:24" s="3" customFormat="1" x14ac:dyDescent="0.25">
      <c r="A156" s="2">
        <v>75</v>
      </c>
      <c r="B156" s="3">
        <v>11337</v>
      </c>
      <c r="C156" s="3" t="s">
        <v>301</v>
      </c>
      <c r="D156" s="3" t="s">
        <v>112</v>
      </c>
      <c r="E156" s="3" t="s">
        <v>302</v>
      </c>
      <c r="F156" s="3" t="s">
        <v>303</v>
      </c>
      <c r="G156" s="3">
        <v>988.9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70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W156" s="3">
        <v>0</v>
      </c>
      <c r="X156" s="3">
        <v>1058.9000000000001</v>
      </c>
    </row>
    <row r="157" spans="1:24" s="3" customFormat="1" x14ac:dyDescent="0.25">
      <c r="A157" s="2"/>
      <c r="G157" s="2" t="s">
        <v>304</v>
      </c>
    </row>
    <row r="158" spans="1:24" s="3" customFormat="1" x14ac:dyDescent="0.25">
      <c r="A158" s="2">
        <v>76</v>
      </c>
      <c r="B158" s="3">
        <v>9027</v>
      </c>
      <c r="C158" s="3" t="s">
        <v>305</v>
      </c>
      <c r="D158" s="3" t="s">
        <v>112</v>
      </c>
      <c r="E158" s="3" t="s">
        <v>90</v>
      </c>
      <c r="F158" s="3" t="s">
        <v>306</v>
      </c>
      <c r="G158" s="3">
        <v>786.5</v>
      </c>
      <c r="H158" s="3">
        <v>0</v>
      </c>
      <c r="I158" s="3">
        <v>0</v>
      </c>
      <c r="J158" s="3">
        <v>0</v>
      </c>
      <c r="K158" s="3">
        <v>200</v>
      </c>
      <c r="L158" s="3">
        <v>0</v>
      </c>
      <c r="M158" s="3">
        <v>70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W158" s="3">
        <v>0</v>
      </c>
      <c r="X158" s="3">
        <v>1056.5</v>
      </c>
    </row>
    <row r="159" spans="1:24" s="3" customFormat="1" x14ac:dyDescent="0.25">
      <c r="A159" s="2"/>
      <c r="G159" s="2" t="s">
        <v>307</v>
      </c>
    </row>
    <row r="160" spans="1:24" s="3" customFormat="1" x14ac:dyDescent="0.25">
      <c r="A160" s="2">
        <v>77</v>
      </c>
      <c r="B160" s="3">
        <v>13956</v>
      </c>
      <c r="C160" s="3" t="s">
        <v>274</v>
      </c>
      <c r="D160" s="3" t="s">
        <v>235</v>
      </c>
      <c r="E160" s="3" t="s">
        <v>73</v>
      </c>
      <c r="F160" s="3" t="s">
        <v>308</v>
      </c>
      <c r="G160" s="3">
        <v>822.8</v>
      </c>
      <c r="H160" s="3">
        <v>0</v>
      </c>
      <c r="I160" s="3">
        <v>0</v>
      </c>
      <c r="J160" s="3">
        <v>0</v>
      </c>
      <c r="K160" s="3">
        <v>200</v>
      </c>
      <c r="L160" s="3">
        <v>0</v>
      </c>
      <c r="M160" s="3">
        <v>30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W160" s="3">
        <v>0</v>
      </c>
      <c r="X160" s="3">
        <v>1052.8</v>
      </c>
    </row>
    <row r="161" spans="1:24" s="3" customFormat="1" x14ac:dyDescent="0.25">
      <c r="A161" s="2"/>
      <c r="G161" s="2" t="s">
        <v>309</v>
      </c>
    </row>
    <row r="162" spans="1:24" s="3" customFormat="1" x14ac:dyDescent="0.25">
      <c r="A162" s="2">
        <v>78</v>
      </c>
      <c r="B162" s="3">
        <v>984</v>
      </c>
      <c r="C162" s="3" t="s">
        <v>310</v>
      </c>
      <c r="D162" s="3" t="s">
        <v>208</v>
      </c>
      <c r="E162" s="3" t="s">
        <v>39</v>
      </c>
      <c r="F162" s="3" t="s">
        <v>311</v>
      </c>
      <c r="G162" s="3">
        <v>952.6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70</v>
      </c>
      <c r="N162" s="3">
        <v>0</v>
      </c>
      <c r="O162" s="3">
        <v>30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W162" s="3">
        <v>0</v>
      </c>
      <c r="X162" s="3">
        <v>1052.5999999999999</v>
      </c>
    </row>
    <row r="163" spans="1:24" s="3" customFormat="1" x14ac:dyDescent="0.25">
      <c r="A163" s="2"/>
      <c r="G163" s="2" t="s">
        <v>312</v>
      </c>
    </row>
    <row r="164" spans="1:24" s="3" customFormat="1" x14ac:dyDescent="0.25">
      <c r="A164" s="2">
        <v>79</v>
      </c>
      <c r="B164" s="3">
        <v>15658</v>
      </c>
      <c r="C164" s="3" t="s">
        <v>313</v>
      </c>
      <c r="D164" s="3" t="s">
        <v>314</v>
      </c>
      <c r="E164" s="3" t="s">
        <v>127</v>
      </c>
      <c r="F164" s="3" t="s">
        <v>315</v>
      </c>
      <c r="G164" s="3">
        <v>852.5</v>
      </c>
      <c r="H164" s="3">
        <v>0</v>
      </c>
      <c r="I164" s="3">
        <v>0</v>
      </c>
      <c r="J164" s="3">
        <v>0</v>
      </c>
      <c r="K164" s="3">
        <v>200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W164" s="3">
        <v>0</v>
      </c>
      <c r="X164" s="3">
        <v>1052.5</v>
      </c>
    </row>
    <row r="165" spans="1:24" s="3" customFormat="1" x14ac:dyDescent="0.25">
      <c r="A165" s="2"/>
      <c r="G165" s="2" t="s">
        <v>316</v>
      </c>
    </row>
    <row r="166" spans="1:24" s="3" customFormat="1" x14ac:dyDescent="0.25">
      <c r="A166" s="2">
        <v>80</v>
      </c>
      <c r="B166" s="3">
        <v>7435</v>
      </c>
      <c r="C166" s="3" t="s">
        <v>317</v>
      </c>
      <c r="D166" s="3" t="s">
        <v>318</v>
      </c>
      <c r="E166" s="3" t="s">
        <v>73</v>
      </c>
      <c r="F166" s="3" t="s">
        <v>319</v>
      </c>
      <c r="G166" s="3">
        <v>820.6</v>
      </c>
      <c r="H166" s="3">
        <v>0</v>
      </c>
      <c r="I166" s="3">
        <v>0</v>
      </c>
      <c r="J166" s="3">
        <v>0</v>
      </c>
      <c r="K166" s="3">
        <v>200</v>
      </c>
      <c r="L166" s="3">
        <v>0</v>
      </c>
      <c r="M166" s="3">
        <v>30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W166" s="3">
        <v>0</v>
      </c>
      <c r="X166" s="3">
        <v>1050.5999999999999</v>
      </c>
    </row>
    <row r="167" spans="1:24" s="3" customFormat="1" x14ac:dyDescent="0.25">
      <c r="A167" s="2"/>
      <c r="G167" s="2" t="s">
        <v>320</v>
      </c>
    </row>
    <row r="168" spans="1:24" s="3" customFormat="1" x14ac:dyDescent="0.25">
      <c r="A168" s="2">
        <v>81</v>
      </c>
      <c r="B168" s="3">
        <v>4204</v>
      </c>
      <c r="C168" s="3" t="s">
        <v>321</v>
      </c>
      <c r="D168" s="3" t="s">
        <v>322</v>
      </c>
      <c r="E168" s="3" t="s">
        <v>323</v>
      </c>
      <c r="F168" s="3" t="s">
        <v>324</v>
      </c>
      <c r="G168" s="3">
        <v>1047.2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W168" s="3">
        <v>0</v>
      </c>
      <c r="X168" s="3">
        <v>1047.2</v>
      </c>
    </row>
    <row r="169" spans="1:24" s="3" customFormat="1" x14ac:dyDescent="0.25">
      <c r="A169" s="2"/>
      <c r="G169" s="2" t="s">
        <v>325</v>
      </c>
    </row>
    <row r="170" spans="1:24" s="3" customFormat="1" x14ac:dyDescent="0.25">
      <c r="A170" s="2">
        <v>82</v>
      </c>
      <c r="B170" s="3">
        <v>1305</v>
      </c>
      <c r="C170" s="3" t="s">
        <v>326</v>
      </c>
      <c r="D170" s="3" t="s">
        <v>327</v>
      </c>
      <c r="E170" s="3" t="s">
        <v>16</v>
      </c>
      <c r="F170" s="3" t="s">
        <v>328</v>
      </c>
      <c r="G170" s="3">
        <v>843.7</v>
      </c>
      <c r="H170" s="3">
        <v>0</v>
      </c>
      <c r="I170" s="3">
        <v>0</v>
      </c>
      <c r="J170" s="3">
        <v>0</v>
      </c>
      <c r="K170" s="3">
        <v>200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W170" s="3">
        <v>0</v>
      </c>
      <c r="X170" s="3">
        <v>1043.7</v>
      </c>
    </row>
    <row r="171" spans="1:24" s="3" customFormat="1" x14ac:dyDescent="0.25">
      <c r="A171" s="2"/>
      <c r="G171" s="2" t="s">
        <v>329</v>
      </c>
    </row>
    <row r="172" spans="1:24" s="3" customFormat="1" x14ac:dyDescent="0.25">
      <c r="A172" s="2">
        <v>83</v>
      </c>
      <c r="B172" s="3">
        <v>13434</v>
      </c>
      <c r="C172" s="3" t="s">
        <v>330</v>
      </c>
      <c r="D172" s="3" t="s">
        <v>89</v>
      </c>
      <c r="E172" s="3" t="s">
        <v>194</v>
      </c>
      <c r="F172" s="3" t="s">
        <v>331</v>
      </c>
      <c r="G172" s="3">
        <v>811.8</v>
      </c>
      <c r="H172" s="3">
        <v>0</v>
      </c>
      <c r="I172" s="3">
        <v>0</v>
      </c>
      <c r="J172" s="3">
        <v>0</v>
      </c>
      <c r="K172" s="3">
        <v>200</v>
      </c>
      <c r="L172" s="3">
        <v>0</v>
      </c>
      <c r="M172" s="3">
        <v>30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W172" s="3">
        <v>0</v>
      </c>
      <c r="X172" s="3">
        <v>1041.8</v>
      </c>
    </row>
    <row r="173" spans="1:24" s="3" customFormat="1" x14ac:dyDescent="0.25">
      <c r="A173" s="2"/>
      <c r="G173" s="2" t="s">
        <v>332</v>
      </c>
    </row>
    <row r="174" spans="1:24" s="3" customFormat="1" x14ac:dyDescent="0.25">
      <c r="A174" s="2">
        <v>84</v>
      </c>
      <c r="B174" s="3">
        <v>5367</v>
      </c>
      <c r="C174" s="3" t="s">
        <v>333</v>
      </c>
      <c r="D174" s="3" t="s">
        <v>138</v>
      </c>
      <c r="E174" s="3" t="s">
        <v>334</v>
      </c>
      <c r="F174" s="3" t="s">
        <v>335</v>
      </c>
      <c r="G174" s="3">
        <v>810.7</v>
      </c>
      <c r="H174" s="3">
        <v>0</v>
      </c>
      <c r="I174" s="3">
        <v>0</v>
      </c>
      <c r="J174" s="3">
        <v>0</v>
      </c>
      <c r="K174" s="3">
        <v>200</v>
      </c>
      <c r="L174" s="3">
        <v>0</v>
      </c>
      <c r="M174" s="3">
        <v>30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W174" s="3">
        <v>0</v>
      </c>
      <c r="X174" s="3">
        <v>1040.7</v>
      </c>
    </row>
    <row r="175" spans="1:24" s="3" customFormat="1" x14ac:dyDescent="0.25">
      <c r="A175" s="2"/>
      <c r="G175" s="2" t="s">
        <v>336</v>
      </c>
    </row>
    <row r="176" spans="1:24" x14ac:dyDescent="0.25">
      <c r="A176" s="2">
        <v>85</v>
      </c>
      <c r="B176" s="2">
        <v>13084</v>
      </c>
      <c r="C176" s="2" t="s">
        <v>337</v>
      </c>
      <c r="D176" s="2" t="s">
        <v>338</v>
      </c>
      <c r="E176" s="2" t="s">
        <v>194</v>
      </c>
      <c r="F176" s="2" t="s">
        <v>339</v>
      </c>
      <c r="G176" s="2">
        <v>970.2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70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W176" s="2">
        <v>0</v>
      </c>
      <c r="X176" s="2">
        <v>1040.2</v>
      </c>
    </row>
    <row r="177" spans="1:24" x14ac:dyDescent="0.25">
      <c r="G177" s="2" t="s">
        <v>340</v>
      </c>
    </row>
    <row r="178" spans="1:24" x14ac:dyDescent="0.25">
      <c r="A178" s="2">
        <v>86</v>
      </c>
      <c r="B178" s="2">
        <v>6245</v>
      </c>
      <c r="C178" s="2" t="s">
        <v>341</v>
      </c>
      <c r="D178" s="2" t="s">
        <v>248</v>
      </c>
      <c r="E178" s="2" t="s">
        <v>342</v>
      </c>
      <c r="F178" s="2" t="s">
        <v>343</v>
      </c>
      <c r="G178" s="2">
        <v>939.4</v>
      </c>
      <c r="H178" s="2">
        <v>0</v>
      </c>
      <c r="I178" s="2">
        <v>0</v>
      </c>
      <c r="J178" s="2">
        <v>0</v>
      </c>
      <c r="K178" s="2">
        <v>0</v>
      </c>
      <c r="L178" s="2">
        <v>100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W178" s="2">
        <v>0</v>
      </c>
      <c r="X178" s="2">
        <v>1039.4000000000001</v>
      </c>
    </row>
    <row r="179" spans="1:24" x14ac:dyDescent="0.25">
      <c r="G179" s="2" t="s">
        <v>344</v>
      </c>
    </row>
    <row r="180" spans="1:24" x14ac:dyDescent="0.25">
      <c r="A180" s="2">
        <v>87</v>
      </c>
      <c r="B180" s="2">
        <v>10606</v>
      </c>
      <c r="C180" s="2" t="s">
        <v>345</v>
      </c>
      <c r="D180" s="2" t="s">
        <v>346</v>
      </c>
      <c r="E180" s="2" t="s">
        <v>73</v>
      </c>
      <c r="F180" s="2" t="s">
        <v>347</v>
      </c>
      <c r="G180" s="2">
        <v>767.8</v>
      </c>
      <c r="H180" s="2">
        <v>0</v>
      </c>
      <c r="I180" s="2">
        <v>0</v>
      </c>
      <c r="J180" s="2">
        <v>0</v>
      </c>
      <c r="K180" s="2">
        <v>200</v>
      </c>
      <c r="L180" s="2">
        <v>0</v>
      </c>
      <c r="M180" s="2">
        <v>70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W180" s="2">
        <v>0</v>
      </c>
      <c r="X180" s="2">
        <v>1037.8</v>
      </c>
    </row>
    <row r="181" spans="1:24" x14ac:dyDescent="0.25">
      <c r="G181" s="2" t="s">
        <v>348</v>
      </c>
    </row>
    <row r="182" spans="1:24" x14ac:dyDescent="0.25">
      <c r="A182" s="2">
        <v>88</v>
      </c>
      <c r="B182" s="2">
        <v>2453</v>
      </c>
      <c r="C182" s="2" t="s">
        <v>350</v>
      </c>
      <c r="D182" s="2" t="s">
        <v>138</v>
      </c>
      <c r="E182" s="2" t="s">
        <v>73</v>
      </c>
      <c r="F182" s="2" t="s">
        <v>351</v>
      </c>
      <c r="G182" s="2">
        <v>787.6</v>
      </c>
      <c r="H182" s="2">
        <v>0</v>
      </c>
      <c r="I182" s="2">
        <v>0</v>
      </c>
      <c r="J182" s="2">
        <v>0</v>
      </c>
      <c r="K182" s="2">
        <v>200</v>
      </c>
      <c r="L182" s="2">
        <v>0</v>
      </c>
      <c r="M182" s="2">
        <v>50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W182" s="2">
        <v>1</v>
      </c>
      <c r="X182" s="2">
        <v>1037.5999999999999</v>
      </c>
    </row>
    <row r="183" spans="1:24" x14ac:dyDescent="0.25">
      <c r="G183" s="2" t="s">
        <v>352</v>
      </c>
    </row>
    <row r="184" spans="1:24" x14ac:dyDescent="0.25">
      <c r="A184" s="2">
        <v>89</v>
      </c>
      <c r="B184" s="2">
        <v>12270</v>
      </c>
      <c r="C184" s="2" t="s">
        <v>353</v>
      </c>
      <c r="D184" s="2" t="s">
        <v>354</v>
      </c>
      <c r="E184" s="2" t="s">
        <v>302</v>
      </c>
      <c r="F184" s="2" t="s">
        <v>355</v>
      </c>
      <c r="G184" s="2">
        <v>1005.4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30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W184" s="2">
        <v>0</v>
      </c>
      <c r="X184" s="2">
        <v>1035.4000000000001</v>
      </c>
    </row>
    <row r="185" spans="1:24" x14ac:dyDescent="0.25">
      <c r="G185" s="2" t="s">
        <v>356</v>
      </c>
    </row>
    <row r="186" spans="1:24" x14ac:dyDescent="0.25">
      <c r="A186" s="2">
        <v>90</v>
      </c>
      <c r="B186" s="2">
        <v>14356</v>
      </c>
      <c r="C186" s="2" t="s">
        <v>357</v>
      </c>
      <c r="D186" s="2" t="s">
        <v>358</v>
      </c>
      <c r="E186" s="2" t="s">
        <v>103</v>
      </c>
      <c r="F186" s="2" t="s">
        <v>359</v>
      </c>
      <c r="G186" s="2">
        <v>805.2</v>
      </c>
      <c r="H186" s="2">
        <v>0</v>
      </c>
      <c r="I186" s="2">
        <v>0</v>
      </c>
      <c r="J186" s="2">
        <v>0</v>
      </c>
      <c r="K186" s="2">
        <v>200</v>
      </c>
      <c r="L186" s="2">
        <v>0</v>
      </c>
      <c r="M186" s="2">
        <v>30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W186" s="2">
        <v>0</v>
      </c>
      <c r="X186" s="2">
        <v>1035.2</v>
      </c>
    </row>
    <row r="187" spans="1:24" x14ac:dyDescent="0.25">
      <c r="G187" s="2" t="s">
        <v>360</v>
      </c>
    </row>
    <row r="188" spans="1:24" x14ac:dyDescent="0.25">
      <c r="A188" s="2">
        <v>91</v>
      </c>
      <c r="B188" s="2">
        <v>9089</v>
      </c>
      <c r="C188" s="2" t="s">
        <v>361</v>
      </c>
      <c r="D188" s="2" t="s">
        <v>94</v>
      </c>
      <c r="E188" s="2" t="s">
        <v>16</v>
      </c>
      <c r="F188" s="2" t="s">
        <v>362</v>
      </c>
      <c r="G188" s="2">
        <v>764.5</v>
      </c>
      <c r="H188" s="2">
        <v>0</v>
      </c>
      <c r="I188" s="2">
        <v>0</v>
      </c>
      <c r="J188" s="2">
        <v>0</v>
      </c>
      <c r="K188" s="2">
        <v>200</v>
      </c>
      <c r="L188" s="2">
        <v>0</v>
      </c>
      <c r="M188" s="2">
        <v>70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W188" s="2">
        <v>0</v>
      </c>
      <c r="X188" s="2">
        <v>1034.5</v>
      </c>
    </row>
    <row r="189" spans="1:24" x14ac:dyDescent="0.25">
      <c r="G189" s="2" t="s">
        <v>363</v>
      </c>
    </row>
    <row r="190" spans="1:24" x14ac:dyDescent="0.25">
      <c r="A190" s="2">
        <v>92</v>
      </c>
      <c r="B190" s="2">
        <v>5934</v>
      </c>
      <c r="C190" s="2" t="s">
        <v>364</v>
      </c>
      <c r="D190" s="2" t="s">
        <v>365</v>
      </c>
      <c r="E190" s="2" t="s">
        <v>73</v>
      </c>
      <c r="F190" s="2" t="s">
        <v>366</v>
      </c>
      <c r="G190" s="2">
        <v>833.8</v>
      </c>
      <c r="H190" s="2">
        <v>0</v>
      </c>
      <c r="I190" s="2">
        <v>0</v>
      </c>
      <c r="J190" s="2">
        <v>0</v>
      </c>
      <c r="K190" s="2">
        <v>200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W190" s="2">
        <v>0</v>
      </c>
      <c r="X190" s="2">
        <v>1033.8</v>
      </c>
    </row>
    <row r="191" spans="1:24" x14ac:dyDescent="0.25">
      <c r="G191" s="2" t="s">
        <v>367</v>
      </c>
    </row>
    <row r="192" spans="1:24" x14ac:dyDescent="0.25">
      <c r="A192" s="2">
        <v>93</v>
      </c>
      <c r="B192" s="2">
        <v>8747</v>
      </c>
      <c r="C192" s="2" t="s">
        <v>369</v>
      </c>
      <c r="D192" s="2" t="s">
        <v>98</v>
      </c>
      <c r="E192" s="2" t="s">
        <v>39</v>
      </c>
      <c r="F192" s="2" t="s">
        <v>370</v>
      </c>
      <c r="G192" s="2">
        <v>763.4</v>
      </c>
      <c r="H192" s="2">
        <v>0</v>
      </c>
      <c r="I192" s="2">
        <v>0</v>
      </c>
      <c r="J192" s="2">
        <v>0</v>
      </c>
      <c r="K192" s="2">
        <v>200</v>
      </c>
      <c r="L192" s="2">
        <v>0</v>
      </c>
      <c r="M192" s="2">
        <v>70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W192" s="2">
        <v>0</v>
      </c>
      <c r="X192" s="2">
        <v>1033.4000000000001</v>
      </c>
    </row>
    <row r="193" spans="1:24" x14ac:dyDescent="0.25">
      <c r="G193" s="2" t="s">
        <v>371</v>
      </c>
    </row>
    <row r="194" spans="1:24" x14ac:dyDescent="0.25">
      <c r="A194" s="2">
        <v>94</v>
      </c>
      <c r="B194" s="2">
        <v>5772</v>
      </c>
      <c r="C194" s="2" t="s">
        <v>372</v>
      </c>
      <c r="D194" s="2" t="s">
        <v>373</v>
      </c>
      <c r="E194" s="2" t="s">
        <v>374</v>
      </c>
      <c r="F194" s="2" t="s">
        <v>375</v>
      </c>
      <c r="G194" s="2">
        <v>800.8</v>
      </c>
      <c r="H194" s="2">
        <v>0</v>
      </c>
      <c r="I194" s="2">
        <v>0</v>
      </c>
      <c r="J194" s="2">
        <v>0</v>
      </c>
      <c r="K194" s="2">
        <v>200</v>
      </c>
      <c r="L194" s="2">
        <v>0</v>
      </c>
      <c r="M194" s="2">
        <v>30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W194" s="2">
        <v>0</v>
      </c>
      <c r="X194" s="2">
        <v>1030.8</v>
      </c>
    </row>
    <row r="195" spans="1:24" x14ac:dyDescent="0.25">
      <c r="G195" s="2" t="s">
        <v>376</v>
      </c>
    </row>
    <row r="196" spans="1:24" x14ac:dyDescent="0.25">
      <c r="A196" s="2">
        <v>95</v>
      </c>
      <c r="B196" s="2">
        <v>9857</v>
      </c>
      <c r="C196" s="2" t="s">
        <v>378</v>
      </c>
      <c r="D196" s="2" t="s">
        <v>248</v>
      </c>
      <c r="E196" s="2" t="s">
        <v>39</v>
      </c>
      <c r="F196" s="2" t="s">
        <v>379</v>
      </c>
      <c r="G196" s="2">
        <v>828.3</v>
      </c>
      <c r="H196" s="2">
        <v>0</v>
      </c>
      <c r="I196" s="2">
        <v>0</v>
      </c>
      <c r="J196" s="2">
        <v>0</v>
      </c>
      <c r="K196" s="2">
        <v>200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W196" s="2">
        <v>0</v>
      </c>
      <c r="X196" s="2">
        <v>1028.3</v>
      </c>
    </row>
    <row r="197" spans="1:24" x14ac:dyDescent="0.25">
      <c r="G197" s="2" t="s">
        <v>380</v>
      </c>
    </row>
    <row r="198" spans="1:24" x14ac:dyDescent="0.25">
      <c r="A198" s="2">
        <v>96</v>
      </c>
      <c r="B198" s="2">
        <v>3619</v>
      </c>
      <c r="C198" s="2" t="s">
        <v>381</v>
      </c>
      <c r="D198" s="2" t="s">
        <v>138</v>
      </c>
      <c r="E198" s="2" t="s">
        <v>39</v>
      </c>
      <c r="F198" s="2" t="s">
        <v>382</v>
      </c>
      <c r="G198" s="2">
        <v>756.8</v>
      </c>
      <c r="H198" s="2">
        <v>0</v>
      </c>
      <c r="I198" s="2">
        <v>0</v>
      </c>
      <c r="J198" s="2">
        <v>0</v>
      </c>
      <c r="K198" s="2">
        <v>200</v>
      </c>
      <c r="L198" s="2">
        <v>0</v>
      </c>
      <c r="M198" s="2">
        <v>70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W198" s="2">
        <v>0</v>
      </c>
      <c r="X198" s="2">
        <v>1026.8</v>
      </c>
    </row>
    <row r="199" spans="1:24" x14ac:dyDescent="0.25">
      <c r="G199" s="2" t="s">
        <v>383</v>
      </c>
    </row>
    <row r="200" spans="1:24" x14ac:dyDescent="0.25">
      <c r="A200" s="2">
        <v>97</v>
      </c>
      <c r="B200" s="2">
        <v>2689</v>
      </c>
      <c r="C200" s="2" t="s">
        <v>384</v>
      </c>
      <c r="D200" s="2" t="s">
        <v>107</v>
      </c>
      <c r="E200" s="2" t="s">
        <v>385</v>
      </c>
      <c r="F200" s="2" t="s">
        <v>386</v>
      </c>
      <c r="G200" s="2">
        <v>826.1</v>
      </c>
      <c r="H200" s="2">
        <v>0</v>
      </c>
      <c r="I200" s="2">
        <v>0</v>
      </c>
      <c r="J200" s="2">
        <v>0</v>
      </c>
      <c r="K200" s="2">
        <v>200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W200" s="2">
        <v>0</v>
      </c>
      <c r="X200" s="2">
        <v>1026.0999999999999</v>
      </c>
    </row>
    <row r="201" spans="1:24" x14ac:dyDescent="0.25">
      <c r="G201" s="2" t="s">
        <v>387</v>
      </c>
    </row>
    <row r="202" spans="1:24" x14ac:dyDescent="0.25">
      <c r="A202" s="2">
        <v>98</v>
      </c>
      <c r="B202" s="2">
        <v>13579</v>
      </c>
      <c r="C202" s="2" t="s">
        <v>388</v>
      </c>
      <c r="D202" s="2" t="s">
        <v>248</v>
      </c>
      <c r="E202" s="2" t="s">
        <v>16</v>
      </c>
      <c r="F202" s="2" t="s">
        <v>389</v>
      </c>
      <c r="G202" s="2">
        <v>795.3</v>
      </c>
      <c r="H202" s="2">
        <v>0</v>
      </c>
      <c r="I202" s="2">
        <v>0</v>
      </c>
      <c r="J202" s="2">
        <v>0</v>
      </c>
      <c r="K202" s="2">
        <v>200</v>
      </c>
      <c r="L202" s="2">
        <v>0</v>
      </c>
      <c r="M202" s="2">
        <v>30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W202" s="2">
        <v>0</v>
      </c>
      <c r="X202" s="2">
        <v>1025.3</v>
      </c>
    </row>
    <row r="203" spans="1:24" x14ac:dyDescent="0.25">
      <c r="G203" s="2" t="s">
        <v>390</v>
      </c>
    </row>
    <row r="204" spans="1:24" x14ac:dyDescent="0.25">
      <c r="A204" s="2">
        <v>99</v>
      </c>
      <c r="B204" s="2">
        <v>9823</v>
      </c>
      <c r="C204" s="2" t="s">
        <v>391</v>
      </c>
      <c r="D204" s="2" t="s">
        <v>94</v>
      </c>
      <c r="E204" s="2" t="s">
        <v>16</v>
      </c>
      <c r="F204" s="2" t="s">
        <v>392</v>
      </c>
      <c r="G204" s="2">
        <v>749.1</v>
      </c>
      <c r="H204" s="2">
        <v>0</v>
      </c>
      <c r="I204" s="2">
        <v>0</v>
      </c>
      <c r="J204" s="2">
        <v>0</v>
      </c>
      <c r="K204" s="2">
        <v>200</v>
      </c>
      <c r="L204" s="2">
        <v>0</v>
      </c>
      <c r="M204" s="2">
        <v>70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W204" s="2">
        <v>0</v>
      </c>
      <c r="X204" s="2">
        <v>1019.1</v>
      </c>
    </row>
    <row r="205" spans="1:24" x14ac:dyDescent="0.25">
      <c r="G205" s="2" t="s">
        <v>393</v>
      </c>
    </row>
    <row r="206" spans="1:24" x14ac:dyDescent="0.25">
      <c r="A206" s="2">
        <v>100</v>
      </c>
      <c r="B206" s="2">
        <v>1839</v>
      </c>
      <c r="C206" s="2" t="s">
        <v>394</v>
      </c>
      <c r="D206" s="2" t="s">
        <v>395</v>
      </c>
      <c r="E206" s="2" t="s">
        <v>73</v>
      </c>
      <c r="F206" s="2" t="s">
        <v>396</v>
      </c>
      <c r="G206" s="2">
        <v>787.6</v>
      </c>
      <c r="H206" s="2">
        <v>0</v>
      </c>
      <c r="I206" s="2">
        <v>0</v>
      </c>
      <c r="J206" s="2">
        <v>0</v>
      </c>
      <c r="K206" s="2">
        <v>200</v>
      </c>
      <c r="L206" s="2">
        <v>0</v>
      </c>
      <c r="M206" s="2">
        <v>30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W206" s="2">
        <v>0</v>
      </c>
      <c r="X206" s="2">
        <v>1017.6</v>
      </c>
    </row>
    <row r="207" spans="1:24" x14ac:dyDescent="0.25">
      <c r="G207" s="2" t="s">
        <v>397</v>
      </c>
    </row>
    <row r="208" spans="1:24" x14ac:dyDescent="0.25">
      <c r="A208" s="2">
        <v>101</v>
      </c>
      <c r="B208" s="2">
        <v>9655</v>
      </c>
      <c r="C208" s="2" t="s">
        <v>398</v>
      </c>
      <c r="D208" s="2" t="s">
        <v>399</v>
      </c>
      <c r="E208" s="2" t="s">
        <v>342</v>
      </c>
      <c r="F208" s="2" t="s">
        <v>400</v>
      </c>
      <c r="G208" s="2">
        <v>786.5</v>
      </c>
      <c r="H208" s="2">
        <v>0</v>
      </c>
      <c r="I208" s="2">
        <v>0</v>
      </c>
      <c r="J208" s="2">
        <v>0</v>
      </c>
      <c r="K208" s="2">
        <v>200</v>
      </c>
      <c r="L208" s="2">
        <v>0</v>
      </c>
      <c r="M208" s="2">
        <v>30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W208" s="2">
        <v>0</v>
      </c>
      <c r="X208" s="2">
        <v>1016.5</v>
      </c>
    </row>
    <row r="209" spans="1:24" x14ac:dyDescent="0.25">
      <c r="G209" s="2" t="s">
        <v>401</v>
      </c>
    </row>
    <row r="210" spans="1:24" x14ac:dyDescent="0.25">
      <c r="A210" s="2">
        <v>102</v>
      </c>
      <c r="B210" s="2">
        <v>7059</v>
      </c>
      <c r="C210" s="2" t="s">
        <v>402</v>
      </c>
      <c r="D210" s="2" t="s">
        <v>112</v>
      </c>
      <c r="E210" s="2" t="s">
        <v>39</v>
      </c>
      <c r="F210" s="2" t="s">
        <v>403</v>
      </c>
      <c r="G210" s="2">
        <v>815.1</v>
      </c>
      <c r="H210" s="2">
        <v>0</v>
      </c>
      <c r="I210" s="2">
        <v>0</v>
      </c>
      <c r="J210" s="2">
        <v>0</v>
      </c>
      <c r="K210" s="2">
        <v>200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W210" s="2">
        <v>0</v>
      </c>
      <c r="X210" s="2">
        <v>1015.1</v>
      </c>
    </row>
    <row r="211" spans="1:24" x14ac:dyDescent="0.25">
      <c r="G211" s="2" t="s">
        <v>404</v>
      </c>
    </row>
    <row r="212" spans="1:24" x14ac:dyDescent="0.25">
      <c r="A212" s="2">
        <v>103</v>
      </c>
      <c r="B212" s="2">
        <v>11729</v>
      </c>
      <c r="C212" s="2" t="s">
        <v>405</v>
      </c>
      <c r="D212" s="2" t="s">
        <v>406</v>
      </c>
      <c r="E212" s="2" t="s">
        <v>127</v>
      </c>
      <c r="F212" s="2" t="s">
        <v>407</v>
      </c>
      <c r="G212" s="2">
        <v>864.6</v>
      </c>
      <c r="H212" s="2">
        <v>150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W212" s="2">
        <v>0</v>
      </c>
      <c r="X212" s="2">
        <v>1014.6</v>
      </c>
    </row>
    <row r="213" spans="1:24" x14ac:dyDescent="0.25">
      <c r="G213" s="2" t="s">
        <v>408</v>
      </c>
    </row>
    <row r="214" spans="1:24" x14ac:dyDescent="0.25">
      <c r="A214" s="2">
        <v>104</v>
      </c>
      <c r="B214" s="2">
        <v>4801</v>
      </c>
      <c r="C214" s="2" t="s">
        <v>409</v>
      </c>
      <c r="D214" s="2" t="s">
        <v>410</v>
      </c>
      <c r="E214" s="2" t="s">
        <v>411</v>
      </c>
      <c r="F214" s="2" t="s">
        <v>412</v>
      </c>
      <c r="G214" s="2">
        <v>953.7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30</v>
      </c>
      <c r="N214" s="2">
        <v>0</v>
      </c>
      <c r="O214" s="2">
        <v>30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W214" s="2">
        <v>0</v>
      </c>
      <c r="X214" s="2">
        <v>1013.7</v>
      </c>
    </row>
    <row r="215" spans="1:24" x14ac:dyDescent="0.25">
      <c r="G215" s="2" t="s">
        <v>413</v>
      </c>
    </row>
    <row r="216" spans="1:24" x14ac:dyDescent="0.25">
      <c r="A216" s="2">
        <v>105</v>
      </c>
      <c r="B216" s="2">
        <v>108</v>
      </c>
      <c r="C216" s="2" t="s">
        <v>414</v>
      </c>
      <c r="D216" s="2" t="s">
        <v>415</v>
      </c>
      <c r="E216" s="2" t="s">
        <v>84</v>
      </c>
      <c r="F216" s="2" t="s">
        <v>416</v>
      </c>
      <c r="G216" s="2">
        <v>743.6</v>
      </c>
      <c r="H216" s="2">
        <v>0</v>
      </c>
      <c r="I216" s="2">
        <v>0</v>
      </c>
      <c r="J216" s="2">
        <v>0</v>
      </c>
      <c r="K216" s="2">
        <v>200</v>
      </c>
      <c r="L216" s="2">
        <v>0</v>
      </c>
      <c r="M216" s="2">
        <v>70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W216" s="2">
        <v>0</v>
      </c>
      <c r="X216" s="2">
        <v>1013.6</v>
      </c>
    </row>
    <row r="217" spans="1:24" x14ac:dyDescent="0.25">
      <c r="G217" s="2" t="s">
        <v>417</v>
      </c>
    </row>
    <row r="218" spans="1:24" x14ac:dyDescent="0.25">
      <c r="A218" s="2">
        <v>106</v>
      </c>
      <c r="B218" s="2">
        <v>9137</v>
      </c>
      <c r="C218" s="2" t="s">
        <v>418</v>
      </c>
      <c r="D218" s="2" t="s">
        <v>164</v>
      </c>
      <c r="E218" s="2" t="s">
        <v>51</v>
      </c>
      <c r="F218" s="2" t="s">
        <v>419</v>
      </c>
      <c r="G218" s="2">
        <v>783.2</v>
      </c>
      <c r="H218" s="2">
        <v>0</v>
      </c>
      <c r="I218" s="2">
        <v>0</v>
      </c>
      <c r="J218" s="2">
        <v>0</v>
      </c>
      <c r="K218" s="2">
        <v>200</v>
      </c>
      <c r="L218" s="2">
        <v>0</v>
      </c>
      <c r="M218" s="2">
        <v>30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W218" s="2">
        <v>0</v>
      </c>
      <c r="X218" s="2">
        <v>1013.2</v>
      </c>
    </row>
    <row r="219" spans="1:24" x14ac:dyDescent="0.25">
      <c r="G219" s="2" t="s">
        <v>420</v>
      </c>
    </row>
    <row r="220" spans="1:24" x14ac:dyDescent="0.25">
      <c r="A220" s="2">
        <v>107</v>
      </c>
      <c r="B220" s="2">
        <v>2600</v>
      </c>
      <c r="C220" s="2" t="s">
        <v>421</v>
      </c>
      <c r="D220" s="2" t="s">
        <v>422</v>
      </c>
      <c r="E220" s="2" t="s">
        <v>127</v>
      </c>
      <c r="F220" s="2" t="s">
        <v>423</v>
      </c>
      <c r="G220" s="2">
        <v>812.9</v>
      </c>
      <c r="H220" s="2">
        <v>0</v>
      </c>
      <c r="I220" s="2">
        <v>0</v>
      </c>
      <c r="J220" s="2">
        <v>0</v>
      </c>
      <c r="K220" s="2">
        <v>200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W220" s="2">
        <v>0</v>
      </c>
      <c r="X220" s="2">
        <v>1012.9</v>
      </c>
    </row>
    <row r="221" spans="1:24" x14ac:dyDescent="0.25">
      <c r="G221" s="2" t="s">
        <v>424</v>
      </c>
    </row>
    <row r="222" spans="1:24" x14ac:dyDescent="0.25">
      <c r="A222" s="2">
        <v>108</v>
      </c>
      <c r="B222" s="2">
        <v>844</v>
      </c>
      <c r="C222" s="2" t="s">
        <v>425</v>
      </c>
      <c r="D222" s="2" t="s">
        <v>426</v>
      </c>
      <c r="E222" s="2" t="s">
        <v>39</v>
      </c>
      <c r="F222" s="2" t="s">
        <v>427</v>
      </c>
      <c r="G222" s="2">
        <v>750.2</v>
      </c>
      <c r="H222" s="2">
        <v>0</v>
      </c>
      <c r="I222" s="2">
        <v>0</v>
      </c>
      <c r="J222" s="2">
        <v>0</v>
      </c>
      <c r="K222" s="2">
        <v>200</v>
      </c>
      <c r="L222" s="2">
        <v>0</v>
      </c>
      <c r="M222" s="2">
        <v>30</v>
      </c>
      <c r="N222" s="2">
        <v>0</v>
      </c>
      <c r="O222" s="2">
        <v>0</v>
      </c>
      <c r="P222" s="2">
        <v>30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W222" s="2">
        <v>0</v>
      </c>
      <c r="X222" s="2">
        <v>1010.2</v>
      </c>
    </row>
    <row r="223" spans="1:24" x14ac:dyDescent="0.25">
      <c r="G223" s="2" t="s">
        <v>428</v>
      </c>
    </row>
    <row r="224" spans="1:24" x14ac:dyDescent="0.25">
      <c r="A224" s="2">
        <v>109</v>
      </c>
      <c r="B224" s="2">
        <v>10577</v>
      </c>
      <c r="C224" s="2" t="s">
        <v>429</v>
      </c>
      <c r="D224" s="2" t="s">
        <v>430</v>
      </c>
      <c r="E224" s="2" t="s">
        <v>194</v>
      </c>
      <c r="F224" s="2" t="s">
        <v>431</v>
      </c>
      <c r="G224" s="2">
        <v>980.1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30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W224" s="2">
        <v>0</v>
      </c>
      <c r="X224" s="2">
        <v>1010.1</v>
      </c>
    </row>
    <row r="225" spans="1:24" x14ac:dyDescent="0.25">
      <c r="G225" s="2" t="s">
        <v>432</v>
      </c>
    </row>
    <row r="226" spans="1:24" x14ac:dyDescent="0.25">
      <c r="A226" s="2">
        <v>110</v>
      </c>
      <c r="B226" s="2">
        <v>11523</v>
      </c>
      <c r="C226" s="2" t="s">
        <v>433</v>
      </c>
      <c r="D226" s="2" t="s">
        <v>194</v>
      </c>
      <c r="E226" s="2" t="s">
        <v>148</v>
      </c>
      <c r="F226" s="2" t="s">
        <v>434</v>
      </c>
      <c r="G226" s="2">
        <v>778.8</v>
      </c>
      <c r="H226" s="2">
        <v>0</v>
      </c>
      <c r="I226" s="2">
        <v>0</v>
      </c>
      <c r="J226" s="2">
        <v>0</v>
      </c>
      <c r="K226" s="2">
        <v>200</v>
      </c>
      <c r="L226" s="2">
        <v>0</v>
      </c>
      <c r="M226" s="2">
        <v>30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W226" s="2">
        <v>0</v>
      </c>
      <c r="X226" s="2">
        <v>1008.8</v>
      </c>
    </row>
    <row r="227" spans="1:24" x14ac:dyDescent="0.25">
      <c r="G227" s="2" t="s">
        <v>435</v>
      </c>
    </row>
    <row r="228" spans="1:24" x14ac:dyDescent="0.25">
      <c r="A228" s="2">
        <v>111</v>
      </c>
      <c r="B228" s="2">
        <v>9305</v>
      </c>
      <c r="C228" s="2" t="s">
        <v>436</v>
      </c>
      <c r="D228" s="2" t="s">
        <v>67</v>
      </c>
      <c r="E228" s="2" t="s">
        <v>78</v>
      </c>
      <c r="F228" s="2" t="s">
        <v>437</v>
      </c>
      <c r="G228" s="2">
        <v>976.8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30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W228" s="2">
        <v>0</v>
      </c>
      <c r="X228" s="2">
        <v>1006.8</v>
      </c>
    </row>
    <row r="229" spans="1:24" x14ac:dyDescent="0.25">
      <c r="G229" s="2" t="s">
        <v>438</v>
      </c>
    </row>
    <row r="230" spans="1:24" x14ac:dyDescent="0.25">
      <c r="A230" s="2">
        <v>112</v>
      </c>
      <c r="B230" s="2">
        <v>4846</v>
      </c>
      <c r="C230" s="2" t="s">
        <v>439</v>
      </c>
      <c r="D230" s="2" t="s">
        <v>440</v>
      </c>
      <c r="E230" s="2" t="s">
        <v>441</v>
      </c>
      <c r="F230" s="2" t="s">
        <v>442</v>
      </c>
      <c r="G230" s="2">
        <v>886.6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50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70</v>
      </c>
      <c r="T230" s="2">
        <v>0</v>
      </c>
      <c r="U230" s="2">
        <v>0</v>
      </c>
      <c r="W230" s="2">
        <v>0</v>
      </c>
      <c r="X230" s="2">
        <v>1006.6</v>
      </c>
    </row>
    <row r="231" spans="1:24" x14ac:dyDescent="0.25">
      <c r="G231" s="2" t="s">
        <v>443</v>
      </c>
    </row>
    <row r="232" spans="1:24" x14ac:dyDescent="0.25">
      <c r="A232" s="2">
        <v>113</v>
      </c>
      <c r="B232" s="2">
        <v>7585</v>
      </c>
      <c r="C232" s="2" t="s">
        <v>444</v>
      </c>
      <c r="D232" s="2" t="s">
        <v>112</v>
      </c>
      <c r="E232" s="2" t="s">
        <v>445</v>
      </c>
      <c r="F232" s="2" t="s">
        <v>446</v>
      </c>
      <c r="G232" s="2">
        <v>776.6</v>
      </c>
      <c r="H232" s="2">
        <v>0</v>
      </c>
      <c r="I232" s="2">
        <v>0</v>
      </c>
      <c r="J232" s="2">
        <v>0</v>
      </c>
      <c r="K232" s="2">
        <v>200</v>
      </c>
      <c r="L232" s="2">
        <v>0</v>
      </c>
      <c r="M232" s="2">
        <v>30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W232" s="2">
        <v>0</v>
      </c>
      <c r="X232" s="2">
        <v>1006.6</v>
      </c>
    </row>
    <row r="233" spans="1:24" x14ac:dyDescent="0.25">
      <c r="G233" s="2" t="s">
        <v>447</v>
      </c>
    </row>
    <row r="234" spans="1:24" x14ac:dyDescent="0.25">
      <c r="A234" s="2">
        <v>114</v>
      </c>
      <c r="B234" s="2">
        <v>17266</v>
      </c>
      <c r="C234" s="2" t="s">
        <v>448</v>
      </c>
      <c r="D234" s="2" t="s">
        <v>449</v>
      </c>
      <c r="E234" s="2" t="s">
        <v>138</v>
      </c>
      <c r="F234" s="2" t="s">
        <v>450</v>
      </c>
      <c r="G234" s="2">
        <v>776.6</v>
      </c>
      <c r="H234" s="2">
        <v>0</v>
      </c>
      <c r="I234" s="2">
        <v>0</v>
      </c>
      <c r="J234" s="2">
        <v>0</v>
      </c>
      <c r="K234" s="2">
        <v>200</v>
      </c>
      <c r="L234" s="2">
        <v>0</v>
      </c>
      <c r="M234" s="2">
        <v>30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W234" s="2">
        <v>0</v>
      </c>
      <c r="X234" s="2">
        <v>1006.6</v>
      </c>
    </row>
    <row r="235" spans="1:24" x14ac:dyDescent="0.25">
      <c r="G235" s="2" t="s">
        <v>451</v>
      </c>
    </row>
    <row r="236" spans="1:24" x14ac:dyDescent="0.25">
      <c r="A236" s="2">
        <v>115</v>
      </c>
      <c r="B236" s="2">
        <v>14651</v>
      </c>
      <c r="C236" s="2" t="s">
        <v>452</v>
      </c>
      <c r="D236" s="2" t="s">
        <v>235</v>
      </c>
      <c r="E236" s="2" t="s">
        <v>39</v>
      </c>
      <c r="F236" s="2" t="s">
        <v>453</v>
      </c>
      <c r="G236" s="2">
        <v>745.8</v>
      </c>
      <c r="H236" s="2">
        <v>0</v>
      </c>
      <c r="I236" s="2">
        <v>0</v>
      </c>
      <c r="J236" s="2">
        <v>0</v>
      </c>
      <c r="K236" s="2">
        <v>200</v>
      </c>
      <c r="L236" s="2">
        <v>0</v>
      </c>
      <c r="M236" s="2">
        <v>30</v>
      </c>
      <c r="N236" s="2">
        <v>0</v>
      </c>
      <c r="O236" s="2">
        <v>30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W236" s="2">
        <v>0</v>
      </c>
      <c r="X236" s="2">
        <v>1005.8</v>
      </c>
    </row>
    <row r="237" spans="1:24" x14ac:dyDescent="0.25">
      <c r="G237" s="2" t="s">
        <v>454</v>
      </c>
    </row>
    <row r="238" spans="1:24" x14ac:dyDescent="0.25">
      <c r="A238" s="2">
        <v>116</v>
      </c>
      <c r="B238" s="2">
        <v>14806</v>
      </c>
      <c r="C238" s="2" t="s">
        <v>455</v>
      </c>
      <c r="D238" s="2" t="s">
        <v>103</v>
      </c>
      <c r="E238" s="2" t="s">
        <v>456</v>
      </c>
      <c r="F238" s="2" t="s">
        <v>457</v>
      </c>
      <c r="G238" s="2">
        <v>775.5</v>
      </c>
      <c r="H238" s="2">
        <v>0</v>
      </c>
      <c r="I238" s="2">
        <v>0</v>
      </c>
      <c r="J238" s="2">
        <v>0</v>
      </c>
      <c r="K238" s="2">
        <v>200</v>
      </c>
      <c r="L238" s="2">
        <v>0</v>
      </c>
      <c r="M238" s="2">
        <v>30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W238" s="2">
        <v>0</v>
      </c>
      <c r="X238" s="2">
        <v>1005.5</v>
      </c>
    </row>
    <row r="239" spans="1:24" x14ac:dyDescent="0.25">
      <c r="G239" s="2" t="s">
        <v>458</v>
      </c>
    </row>
    <row r="240" spans="1:24" x14ac:dyDescent="0.25">
      <c r="A240" s="2">
        <v>117</v>
      </c>
      <c r="B240" s="2">
        <v>15671</v>
      </c>
      <c r="C240" s="2" t="s">
        <v>459</v>
      </c>
      <c r="D240" s="2" t="s">
        <v>460</v>
      </c>
      <c r="E240" s="2" t="s">
        <v>39</v>
      </c>
      <c r="F240" s="2" t="s">
        <v>461</v>
      </c>
      <c r="G240" s="2">
        <v>805.2</v>
      </c>
      <c r="H240" s="2">
        <v>0</v>
      </c>
      <c r="I240" s="2">
        <v>0</v>
      </c>
      <c r="J240" s="2">
        <v>0</v>
      </c>
      <c r="K240" s="2">
        <v>200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W240" s="2">
        <v>0</v>
      </c>
      <c r="X240" s="2">
        <v>1005.2</v>
      </c>
    </row>
    <row r="241" spans="1:24" x14ac:dyDescent="0.25">
      <c r="G241" s="2" t="s">
        <v>462</v>
      </c>
    </row>
    <row r="242" spans="1:24" x14ac:dyDescent="0.25">
      <c r="A242" s="2">
        <v>118</v>
      </c>
      <c r="B242" s="2">
        <v>10815</v>
      </c>
      <c r="C242" s="2" t="s">
        <v>463</v>
      </c>
      <c r="D242" s="2" t="s">
        <v>90</v>
      </c>
      <c r="E242" s="2" t="s">
        <v>236</v>
      </c>
      <c r="F242" s="2" t="s">
        <v>464</v>
      </c>
      <c r="G242" s="2">
        <v>804.1</v>
      </c>
      <c r="H242" s="2">
        <v>0</v>
      </c>
      <c r="I242" s="2">
        <v>0</v>
      </c>
      <c r="J242" s="2">
        <v>0</v>
      </c>
      <c r="K242" s="2">
        <v>200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W242" s="2">
        <v>0</v>
      </c>
      <c r="X242" s="2">
        <v>1004.1</v>
      </c>
    </row>
    <row r="243" spans="1:24" x14ac:dyDescent="0.25">
      <c r="G243" s="2" t="s">
        <v>465</v>
      </c>
    </row>
    <row r="244" spans="1:24" x14ac:dyDescent="0.25">
      <c r="A244" s="2">
        <v>119</v>
      </c>
      <c r="B244" s="2">
        <v>4333</v>
      </c>
      <c r="C244" s="2" t="s">
        <v>466</v>
      </c>
      <c r="D244" s="2" t="s">
        <v>467</v>
      </c>
      <c r="E244" s="2" t="s">
        <v>51</v>
      </c>
      <c r="F244" s="2" t="s">
        <v>468</v>
      </c>
      <c r="G244" s="2">
        <v>932.8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70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W244" s="2">
        <v>0</v>
      </c>
      <c r="X244" s="2">
        <v>1002.8</v>
      </c>
    </row>
    <row r="245" spans="1:24" x14ac:dyDescent="0.25">
      <c r="G245" s="2" t="s">
        <v>469</v>
      </c>
    </row>
    <row r="246" spans="1:24" x14ac:dyDescent="0.25">
      <c r="A246" s="2">
        <v>120</v>
      </c>
      <c r="B246" s="2">
        <v>15640</v>
      </c>
      <c r="C246" s="2" t="s">
        <v>470</v>
      </c>
      <c r="D246" s="2" t="s">
        <v>471</v>
      </c>
      <c r="E246" s="2" t="s">
        <v>194</v>
      </c>
      <c r="F246" s="2" t="s">
        <v>472</v>
      </c>
      <c r="G246" s="2">
        <v>772.2</v>
      </c>
      <c r="H246" s="2">
        <v>0</v>
      </c>
      <c r="I246" s="2">
        <v>0</v>
      </c>
      <c r="J246" s="2">
        <v>0</v>
      </c>
      <c r="K246" s="2">
        <v>200</v>
      </c>
      <c r="L246" s="2">
        <v>0</v>
      </c>
      <c r="M246" s="2">
        <v>30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W246" s="2">
        <v>0</v>
      </c>
      <c r="X246" s="2">
        <v>1002.2</v>
      </c>
    </row>
    <row r="247" spans="1:24" x14ac:dyDescent="0.25">
      <c r="G247" s="2" t="s">
        <v>473</v>
      </c>
    </row>
    <row r="248" spans="1:24" x14ac:dyDescent="0.25">
      <c r="A248" s="2">
        <v>121</v>
      </c>
      <c r="B248" s="2">
        <v>7303</v>
      </c>
      <c r="C248" s="2" t="s">
        <v>474</v>
      </c>
      <c r="D248" s="2" t="s">
        <v>475</v>
      </c>
      <c r="E248" s="2" t="s">
        <v>194</v>
      </c>
      <c r="F248" s="2" t="s">
        <v>476</v>
      </c>
      <c r="G248" s="2">
        <v>751.3</v>
      </c>
      <c r="H248" s="2">
        <v>0</v>
      </c>
      <c r="I248" s="2">
        <v>0</v>
      </c>
      <c r="J248" s="2">
        <v>0</v>
      </c>
      <c r="K248" s="2">
        <v>200</v>
      </c>
      <c r="L248" s="2">
        <v>0</v>
      </c>
      <c r="M248" s="2">
        <v>50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W248" s="2">
        <v>0</v>
      </c>
      <c r="X248" s="2">
        <v>1001.3</v>
      </c>
    </row>
    <row r="249" spans="1:24" x14ac:dyDescent="0.25">
      <c r="G249" s="2" t="s">
        <v>477</v>
      </c>
    </row>
    <row r="250" spans="1:24" x14ac:dyDescent="0.25">
      <c r="A250" s="2">
        <v>122</v>
      </c>
      <c r="B250" s="2">
        <v>10619</v>
      </c>
      <c r="C250" s="2" t="s">
        <v>478</v>
      </c>
      <c r="D250" s="2" t="s">
        <v>248</v>
      </c>
      <c r="E250" s="2" t="s">
        <v>73</v>
      </c>
      <c r="F250" s="2" t="s">
        <v>479</v>
      </c>
      <c r="G250" s="2">
        <v>970.2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30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W250" s="2">
        <v>0</v>
      </c>
      <c r="X250" s="2">
        <v>1000.2</v>
      </c>
    </row>
    <row r="251" spans="1:24" x14ac:dyDescent="0.25">
      <c r="G251" s="2" t="s">
        <v>480</v>
      </c>
    </row>
    <row r="252" spans="1:24" x14ac:dyDescent="0.25">
      <c r="A252" s="2">
        <v>123</v>
      </c>
      <c r="B252" s="2">
        <v>4254</v>
      </c>
      <c r="C252" s="2" t="s">
        <v>481</v>
      </c>
      <c r="D252" s="2" t="s">
        <v>415</v>
      </c>
      <c r="E252" s="2" t="s">
        <v>73</v>
      </c>
      <c r="F252" s="2" t="s">
        <v>482</v>
      </c>
      <c r="G252" s="2">
        <v>949.3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50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W252" s="2">
        <v>0</v>
      </c>
      <c r="X252" s="2">
        <v>999.3</v>
      </c>
    </row>
    <row r="253" spans="1:24" x14ac:dyDescent="0.25">
      <c r="G253" s="2" t="s">
        <v>483</v>
      </c>
    </row>
    <row r="254" spans="1:24" x14ac:dyDescent="0.25">
      <c r="A254" s="2">
        <v>124</v>
      </c>
      <c r="B254" s="2">
        <v>16416</v>
      </c>
      <c r="C254" s="2" t="s">
        <v>484</v>
      </c>
      <c r="D254" s="2" t="s">
        <v>16</v>
      </c>
      <c r="E254" s="2" t="s">
        <v>84</v>
      </c>
      <c r="F254" s="2" t="s">
        <v>485</v>
      </c>
      <c r="G254" s="2">
        <v>727.1</v>
      </c>
      <c r="H254" s="2">
        <v>0</v>
      </c>
      <c r="I254" s="2">
        <v>0</v>
      </c>
      <c r="J254" s="2">
        <v>0</v>
      </c>
      <c r="K254" s="2">
        <v>200</v>
      </c>
      <c r="L254" s="2">
        <v>0</v>
      </c>
      <c r="M254" s="2">
        <v>70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W254" s="2">
        <v>0</v>
      </c>
      <c r="X254" s="2">
        <v>997.1</v>
      </c>
    </row>
    <row r="255" spans="1:24" x14ac:dyDescent="0.25">
      <c r="G255" s="2" t="s">
        <v>486</v>
      </c>
    </row>
    <row r="256" spans="1:24" x14ac:dyDescent="0.25">
      <c r="A256" s="2">
        <v>125</v>
      </c>
      <c r="B256" s="2">
        <v>357</v>
      </c>
      <c r="C256" s="2" t="s">
        <v>142</v>
      </c>
      <c r="D256" s="2" t="s">
        <v>488</v>
      </c>
      <c r="E256" s="2" t="s">
        <v>73</v>
      </c>
      <c r="F256" s="2" t="s">
        <v>489</v>
      </c>
      <c r="G256" s="2">
        <v>766.7</v>
      </c>
      <c r="H256" s="2">
        <v>0</v>
      </c>
      <c r="I256" s="2">
        <v>0</v>
      </c>
      <c r="J256" s="2">
        <v>0</v>
      </c>
      <c r="K256" s="2">
        <v>200</v>
      </c>
      <c r="L256" s="2">
        <v>0</v>
      </c>
      <c r="M256" s="2">
        <v>30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W256" s="2">
        <v>2</v>
      </c>
      <c r="X256" s="2">
        <v>996.7</v>
      </c>
    </row>
    <row r="257" spans="1:24" x14ac:dyDescent="0.25">
      <c r="G257" s="2" t="s">
        <v>490</v>
      </c>
    </row>
    <row r="258" spans="1:24" x14ac:dyDescent="0.25">
      <c r="A258" s="2">
        <v>126</v>
      </c>
      <c r="B258" s="2">
        <v>407</v>
      </c>
      <c r="C258" s="2" t="s">
        <v>491</v>
      </c>
      <c r="D258" s="2" t="s">
        <v>78</v>
      </c>
      <c r="E258" s="2" t="s">
        <v>113</v>
      </c>
      <c r="F258" s="2" t="s">
        <v>492</v>
      </c>
      <c r="G258" s="2">
        <v>795.3</v>
      </c>
      <c r="H258" s="2">
        <v>0</v>
      </c>
      <c r="I258" s="2">
        <v>0</v>
      </c>
      <c r="J258" s="2">
        <v>0</v>
      </c>
      <c r="K258" s="2">
        <v>200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W258" s="2">
        <v>0</v>
      </c>
      <c r="X258" s="2">
        <v>995.3</v>
      </c>
    </row>
    <row r="259" spans="1:24" x14ac:dyDescent="0.25">
      <c r="G259" s="2" t="s">
        <v>493</v>
      </c>
    </row>
    <row r="260" spans="1:24" x14ac:dyDescent="0.25">
      <c r="A260" s="2">
        <v>127</v>
      </c>
      <c r="B260" s="2">
        <v>2192</v>
      </c>
      <c r="C260" s="2" t="s">
        <v>495</v>
      </c>
      <c r="D260" s="2" t="s">
        <v>112</v>
      </c>
      <c r="E260" s="2" t="s">
        <v>138</v>
      </c>
      <c r="F260" s="2" t="s">
        <v>496</v>
      </c>
      <c r="G260" s="2">
        <v>925.1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70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W260" s="2">
        <v>1</v>
      </c>
      <c r="X260" s="2">
        <v>995.1</v>
      </c>
    </row>
    <row r="261" spans="1:24" x14ac:dyDescent="0.25">
      <c r="G261" s="2" t="s">
        <v>497</v>
      </c>
    </row>
    <row r="262" spans="1:24" x14ac:dyDescent="0.25">
      <c r="A262" s="2">
        <v>128</v>
      </c>
      <c r="B262" s="2">
        <v>11239</v>
      </c>
      <c r="C262" s="2" t="s">
        <v>498</v>
      </c>
      <c r="D262" s="2" t="s">
        <v>499</v>
      </c>
      <c r="E262" s="2" t="s">
        <v>500</v>
      </c>
      <c r="F262" s="2" t="s">
        <v>501</v>
      </c>
      <c r="G262" s="2">
        <v>964.7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30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W262" s="2">
        <v>0</v>
      </c>
      <c r="X262" s="2">
        <v>994.7</v>
      </c>
    </row>
    <row r="263" spans="1:24" x14ac:dyDescent="0.25">
      <c r="G263" s="2" t="s">
        <v>502</v>
      </c>
    </row>
    <row r="264" spans="1:24" x14ac:dyDescent="0.25">
      <c r="A264" s="2">
        <v>129</v>
      </c>
      <c r="B264" s="2">
        <v>3969</v>
      </c>
      <c r="C264" s="2" t="s">
        <v>503</v>
      </c>
      <c r="D264" s="2" t="s">
        <v>78</v>
      </c>
      <c r="E264" s="2" t="s">
        <v>90</v>
      </c>
      <c r="F264" s="2" t="s">
        <v>504</v>
      </c>
      <c r="G264" s="2">
        <v>764.5</v>
      </c>
      <c r="H264" s="2">
        <v>0</v>
      </c>
      <c r="I264" s="2">
        <v>0</v>
      </c>
      <c r="J264" s="2">
        <v>0</v>
      </c>
      <c r="K264" s="2">
        <v>200</v>
      </c>
      <c r="L264" s="2">
        <v>0</v>
      </c>
      <c r="M264" s="2">
        <v>30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W264" s="2">
        <v>0</v>
      </c>
      <c r="X264" s="2">
        <v>994.5</v>
      </c>
    </row>
    <row r="265" spans="1:24" x14ac:dyDescent="0.25">
      <c r="G265" s="2" t="s">
        <v>505</v>
      </c>
    </row>
    <row r="266" spans="1:24" x14ac:dyDescent="0.25">
      <c r="A266" s="2">
        <v>130</v>
      </c>
      <c r="B266" s="2">
        <v>16498</v>
      </c>
      <c r="C266" s="2" t="s">
        <v>506</v>
      </c>
      <c r="D266" s="2" t="s">
        <v>107</v>
      </c>
      <c r="E266" s="2" t="s">
        <v>73</v>
      </c>
      <c r="F266" s="2" t="s">
        <v>507</v>
      </c>
      <c r="G266" s="2">
        <v>924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70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W266" s="2">
        <v>0</v>
      </c>
      <c r="X266" s="2">
        <v>994</v>
      </c>
    </row>
    <row r="267" spans="1:24" x14ac:dyDescent="0.25">
      <c r="G267" s="2" t="s">
        <v>508</v>
      </c>
    </row>
    <row r="268" spans="1:24" x14ac:dyDescent="0.25">
      <c r="A268" s="2">
        <v>131</v>
      </c>
      <c r="B268" s="2">
        <v>1811</v>
      </c>
      <c r="C268" s="2" t="s">
        <v>509</v>
      </c>
      <c r="D268" s="2" t="s">
        <v>510</v>
      </c>
      <c r="E268" s="2" t="s">
        <v>51</v>
      </c>
      <c r="F268" s="2" t="s">
        <v>511</v>
      </c>
      <c r="G268" s="2">
        <v>763.4</v>
      </c>
      <c r="H268" s="2">
        <v>0</v>
      </c>
      <c r="I268" s="2">
        <v>0</v>
      </c>
      <c r="J268" s="2">
        <v>0</v>
      </c>
      <c r="K268" s="2">
        <v>200</v>
      </c>
      <c r="L268" s="2">
        <v>0</v>
      </c>
      <c r="M268" s="2">
        <v>30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W268" s="2">
        <v>0</v>
      </c>
      <c r="X268" s="2">
        <v>993.4</v>
      </c>
    </row>
    <row r="269" spans="1:24" x14ac:dyDescent="0.25">
      <c r="G269" s="2" t="s">
        <v>512</v>
      </c>
    </row>
    <row r="270" spans="1:24" x14ac:dyDescent="0.25">
      <c r="A270" s="2">
        <v>132</v>
      </c>
      <c r="B270" s="2">
        <v>17591</v>
      </c>
      <c r="C270" s="2" t="s">
        <v>513</v>
      </c>
      <c r="D270" s="2" t="s">
        <v>415</v>
      </c>
      <c r="E270" s="2" t="s">
        <v>73</v>
      </c>
      <c r="F270" s="2" t="s">
        <v>514</v>
      </c>
      <c r="G270" s="2">
        <v>922.9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70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W270" s="2">
        <v>0</v>
      </c>
      <c r="X270" s="2">
        <v>992.9</v>
      </c>
    </row>
    <row r="271" spans="1:24" x14ac:dyDescent="0.25">
      <c r="G271" s="2" t="s">
        <v>515</v>
      </c>
    </row>
    <row r="272" spans="1:24" x14ac:dyDescent="0.25">
      <c r="A272" s="2">
        <v>133</v>
      </c>
      <c r="B272" s="2">
        <v>5018</v>
      </c>
      <c r="C272" s="2" t="s">
        <v>516</v>
      </c>
      <c r="D272" s="2" t="s">
        <v>517</v>
      </c>
      <c r="E272" s="2" t="s">
        <v>51</v>
      </c>
      <c r="F272" s="2" t="s">
        <v>518</v>
      </c>
      <c r="G272" s="2">
        <v>962.5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30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W272" s="2">
        <v>0</v>
      </c>
      <c r="X272" s="2">
        <v>992.5</v>
      </c>
    </row>
    <row r="273" spans="1:24" x14ac:dyDescent="0.25">
      <c r="G273" s="2" t="s">
        <v>519</v>
      </c>
    </row>
    <row r="274" spans="1:24" x14ac:dyDescent="0.25">
      <c r="A274" s="2">
        <v>134</v>
      </c>
      <c r="B274" s="2">
        <v>9727</v>
      </c>
      <c r="C274" s="2" t="s">
        <v>520</v>
      </c>
      <c r="D274" s="2" t="s">
        <v>264</v>
      </c>
      <c r="E274" s="2" t="s">
        <v>51</v>
      </c>
      <c r="F274" s="2" t="s">
        <v>521</v>
      </c>
      <c r="G274" s="2">
        <v>772.2</v>
      </c>
      <c r="H274" s="2">
        <v>150</v>
      </c>
      <c r="I274" s="2">
        <v>0</v>
      </c>
      <c r="J274" s="2">
        <v>0</v>
      </c>
      <c r="K274" s="2">
        <v>0</v>
      </c>
      <c r="L274" s="2">
        <v>0</v>
      </c>
      <c r="M274" s="2">
        <v>70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W274" s="2">
        <v>0</v>
      </c>
      <c r="X274" s="2">
        <v>992.2</v>
      </c>
    </row>
    <row r="275" spans="1:24" x14ac:dyDescent="0.25">
      <c r="G275" s="2" t="s">
        <v>522</v>
      </c>
    </row>
    <row r="276" spans="1:24" x14ac:dyDescent="0.25">
      <c r="A276" s="2">
        <v>135</v>
      </c>
      <c r="B276" s="2">
        <v>12739</v>
      </c>
      <c r="C276" s="2" t="s">
        <v>523</v>
      </c>
      <c r="D276" s="2" t="s">
        <v>248</v>
      </c>
      <c r="E276" s="2" t="s">
        <v>84</v>
      </c>
      <c r="F276" s="2" t="s">
        <v>524</v>
      </c>
      <c r="G276" s="2">
        <v>759</v>
      </c>
      <c r="H276" s="2">
        <v>0</v>
      </c>
      <c r="I276" s="2">
        <v>0</v>
      </c>
      <c r="J276" s="2">
        <v>0</v>
      </c>
      <c r="K276" s="2">
        <v>200</v>
      </c>
      <c r="L276" s="2">
        <v>0</v>
      </c>
      <c r="M276" s="2">
        <v>30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W276" s="2">
        <v>0</v>
      </c>
      <c r="X276" s="2">
        <v>989</v>
      </c>
    </row>
    <row r="277" spans="1:24" x14ac:dyDescent="0.25">
      <c r="G277" s="2" t="s">
        <v>525</v>
      </c>
    </row>
    <row r="278" spans="1:24" x14ac:dyDescent="0.25">
      <c r="A278" s="2">
        <v>136</v>
      </c>
      <c r="B278" s="2">
        <v>478</v>
      </c>
      <c r="C278" s="2" t="s">
        <v>526</v>
      </c>
      <c r="D278" s="2" t="s">
        <v>182</v>
      </c>
      <c r="E278" s="2" t="s">
        <v>126</v>
      </c>
      <c r="F278" s="2" t="s">
        <v>527</v>
      </c>
      <c r="G278" s="2">
        <v>916.3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70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W278" s="2">
        <v>0</v>
      </c>
      <c r="X278" s="2">
        <v>986.3</v>
      </c>
    </row>
    <row r="279" spans="1:24" x14ac:dyDescent="0.25">
      <c r="G279" s="2" t="s">
        <v>528</v>
      </c>
    </row>
    <row r="280" spans="1:24" x14ac:dyDescent="0.25">
      <c r="A280" s="2">
        <v>137</v>
      </c>
      <c r="B280" s="2">
        <v>7194</v>
      </c>
      <c r="C280" s="2" t="s">
        <v>529</v>
      </c>
      <c r="D280" s="2" t="s">
        <v>530</v>
      </c>
      <c r="E280" s="2" t="s">
        <v>138</v>
      </c>
      <c r="F280" s="2" t="s">
        <v>531</v>
      </c>
      <c r="G280" s="2">
        <v>914.1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70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W280" s="2">
        <v>0</v>
      </c>
      <c r="X280" s="2">
        <v>984.1</v>
      </c>
    </row>
    <row r="281" spans="1:24" x14ac:dyDescent="0.25">
      <c r="G281" s="2" t="s">
        <v>532</v>
      </c>
    </row>
    <row r="282" spans="1:24" x14ac:dyDescent="0.25">
      <c r="A282" s="2">
        <v>138</v>
      </c>
      <c r="B282" s="2">
        <v>12114</v>
      </c>
      <c r="C282" s="2" t="s">
        <v>533</v>
      </c>
      <c r="D282" s="2" t="s">
        <v>39</v>
      </c>
      <c r="E282" s="2" t="s">
        <v>84</v>
      </c>
      <c r="F282" s="2" t="s">
        <v>534</v>
      </c>
      <c r="G282" s="2">
        <v>953.7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30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W282" s="2">
        <v>0</v>
      </c>
      <c r="X282" s="2">
        <v>983.7</v>
      </c>
    </row>
    <row r="283" spans="1:24" x14ac:dyDescent="0.25">
      <c r="G283" s="2" t="s">
        <v>535</v>
      </c>
    </row>
    <row r="284" spans="1:24" x14ac:dyDescent="0.25">
      <c r="A284" s="2">
        <v>139</v>
      </c>
      <c r="B284" s="2">
        <v>7013</v>
      </c>
      <c r="C284" s="2" t="s">
        <v>536</v>
      </c>
      <c r="D284" s="2" t="s">
        <v>248</v>
      </c>
      <c r="E284" s="2" t="s">
        <v>103</v>
      </c>
      <c r="F284" s="2" t="s">
        <v>537</v>
      </c>
      <c r="G284" s="2">
        <v>753.5</v>
      </c>
      <c r="H284" s="2">
        <v>0</v>
      </c>
      <c r="I284" s="2">
        <v>0</v>
      </c>
      <c r="J284" s="2">
        <v>0</v>
      </c>
      <c r="K284" s="2">
        <v>200</v>
      </c>
      <c r="L284" s="2">
        <v>0</v>
      </c>
      <c r="M284" s="2">
        <v>30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W284" s="2">
        <v>0</v>
      </c>
      <c r="X284" s="2">
        <v>983.5</v>
      </c>
    </row>
    <row r="285" spans="1:24" x14ac:dyDescent="0.25">
      <c r="G285" s="2" t="s">
        <v>538</v>
      </c>
    </row>
    <row r="286" spans="1:24" x14ac:dyDescent="0.25">
      <c r="A286" s="2">
        <v>140</v>
      </c>
      <c r="B286" s="2">
        <v>5437</v>
      </c>
      <c r="C286" s="2" t="s">
        <v>539</v>
      </c>
      <c r="D286" s="2" t="s">
        <v>89</v>
      </c>
      <c r="E286" s="2" t="s">
        <v>540</v>
      </c>
      <c r="F286" s="2" t="s">
        <v>541</v>
      </c>
      <c r="G286" s="2">
        <v>913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70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W286" s="2">
        <v>0</v>
      </c>
      <c r="X286" s="2">
        <v>983</v>
      </c>
    </row>
    <row r="287" spans="1:24" x14ac:dyDescent="0.25">
      <c r="G287" s="2" t="s">
        <v>542</v>
      </c>
    </row>
    <row r="288" spans="1:24" x14ac:dyDescent="0.25">
      <c r="A288" s="2">
        <v>141</v>
      </c>
      <c r="B288" s="2">
        <v>10550</v>
      </c>
      <c r="C288" s="2" t="s">
        <v>543</v>
      </c>
      <c r="D288" s="2" t="s">
        <v>399</v>
      </c>
      <c r="E288" s="2" t="s">
        <v>127</v>
      </c>
      <c r="F288" s="2" t="s">
        <v>544</v>
      </c>
      <c r="G288" s="2">
        <v>913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70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W288" s="2">
        <v>0</v>
      </c>
      <c r="X288" s="2">
        <v>983</v>
      </c>
    </row>
    <row r="289" spans="1:24" x14ac:dyDescent="0.25">
      <c r="G289" s="2" t="s">
        <v>545</v>
      </c>
    </row>
    <row r="290" spans="1:24" x14ac:dyDescent="0.25">
      <c r="A290" s="2">
        <v>142</v>
      </c>
      <c r="B290" s="2">
        <v>842</v>
      </c>
      <c r="C290" s="2" t="s">
        <v>546</v>
      </c>
      <c r="D290" s="2" t="s">
        <v>547</v>
      </c>
      <c r="E290" s="2" t="s">
        <v>73</v>
      </c>
      <c r="F290" s="2" t="s">
        <v>548</v>
      </c>
      <c r="G290" s="2">
        <v>781</v>
      </c>
      <c r="H290" s="2">
        <v>0</v>
      </c>
      <c r="I290" s="2">
        <v>0</v>
      </c>
      <c r="J290" s="2">
        <v>0</v>
      </c>
      <c r="K290" s="2">
        <v>200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W290" s="2">
        <v>0</v>
      </c>
      <c r="X290" s="2">
        <v>981</v>
      </c>
    </row>
    <row r="291" spans="1:24" x14ac:dyDescent="0.25">
      <c r="G291" s="2" t="s">
        <v>549</v>
      </c>
    </row>
    <row r="292" spans="1:24" x14ac:dyDescent="0.25">
      <c r="A292" s="2">
        <v>143</v>
      </c>
      <c r="B292" s="2">
        <v>4878</v>
      </c>
      <c r="C292" s="2" t="s">
        <v>550</v>
      </c>
      <c r="D292" s="2" t="s">
        <v>248</v>
      </c>
      <c r="E292" s="2" t="s">
        <v>551</v>
      </c>
      <c r="F292" s="2" t="s">
        <v>552</v>
      </c>
      <c r="G292" s="2">
        <v>930.6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50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W292" s="2">
        <v>0</v>
      </c>
      <c r="X292" s="2">
        <v>980.6</v>
      </c>
    </row>
    <row r="293" spans="1:24" x14ac:dyDescent="0.25">
      <c r="G293" s="2" t="s">
        <v>553</v>
      </c>
    </row>
    <row r="294" spans="1:24" x14ac:dyDescent="0.25">
      <c r="A294" s="2">
        <v>144</v>
      </c>
      <c r="B294" s="2">
        <v>8871</v>
      </c>
      <c r="C294" s="2" t="s">
        <v>554</v>
      </c>
      <c r="D294" s="2" t="s">
        <v>107</v>
      </c>
      <c r="E294" s="2" t="s">
        <v>127</v>
      </c>
      <c r="F294" s="2" t="s">
        <v>555</v>
      </c>
      <c r="G294" s="2">
        <v>850.3</v>
      </c>
      <c r="H294" s="2">
        <v>0</v>
      </c>
      <c r="I294" s="2">
        <v>0</v>
      </c>
      <c r="J294" s="2">
        <v>0</v>
      </c>
      <c r="K294" s="2">
        <v>0</v>
      </c>
      <c r="L294" s="2">
        <v>100</v>
      </c>
      <c r="M294" s="2">
        <v>30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W294" s="2">
        <v>0</v>
      </c>
      <c r="X294" s="2">
        <v>980.3</v>
      </c>
    </row>
    <row r="295" spans="1:24" x14ac:dyDescent="0.25">
      <c r="G295" s="2" t="s">
        <v>556</v>
      </c>
    </row>
    <row r="296" spans="1:24" x14ac:dyDescent="0.25">
      <c r="A296" s="2">
        <v>145</v>
      </c>
      <c r="B296" s="2">
        <v>13723</v>
      </c>
      <c r="C296" s="2" t="s">
        <v>557</v>
      </c>
      <c r="D296" s="2" t="s">
        <v>558</v>
      </c>
      <c r="E296" s="2" t="s">
        <v>39</v>
      </c>
      <c r="F296" s="2" t="s">
        <v>559</v>
      </c>
      <c r="G296" s="2">
        <v>750.2</v>
      </c>
      <c r="H296" s="2">
        <v>0</v>
      </c>
      <c r="I296" s="2">
        <v>0</v>
      </c>
      <c r="J296" s="2">
        <v>0</v>
      </c>
      <c r="K296" s="2">
        <v>200</v>
      </c>
      <c r="L296" s="2">
        <v>0</v>
      </c>
      <c r="M296" s="2">
        <v>30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W296" s="2">
        <v>0</v>
      </c>
      <c r="X296" s="2">
        <v>980.2</v>
      </c>
    </row>
    <row r="297" spans="1:24" x14ac:dyDescent="0.25">
      <c r="G297" s="2" t="s">
        <v>560</v>
      </c>
    </row>
    <row r="298" spans="1:24" x14ac:dyDescent="0.25">
      <c r="A298" s="2">
        <v>146</v>
      </c>
      <c r="B298" s="2">
        <v>7721</v>
      </c>
      <c r="C298" s="2" t="s">
        <v>561</v>
      </c>
      <c r="D298" s="2" t="s">
        <v>562</v>
      </c>
      <c r="E298" s="2" t="s">
        <v>563</v>
      </c>
      <c r="F298" s="2" t="s">
        <v>564</v>
      </c>
      <c r="G298" s="2">
        <v>909.7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70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W298" s="2">
        <v>0</v>
      </c>
      <c r="X298" s="2">
        <v>979.7</v>
      </c>
    </row>
    <row r="299" spans="1:24" x14ac:dyDescent="0.25">
      <c r="G299" s="2" t="s">
        <v>565</v>
      </c>
    </row>
    <row r="300" spans="1:24" x14ac:dyDescent="0.25">
      <c r="A300" s="2">
        <v>147</v>
      </c>
      <c r="B300" s="2">
        <v>9401</v>
      </c>
      <c r="C300" s="2" t="s">
        <v>566</v>
      </c>
      <c r="D300" s="2" t="s">
        <v>127</v>
      </c>
      <c r="E300" s="2" t="s">
        <v>567</v>
      </c>
      <c r="F300" s="2" t="s">
        <v>568</v>
      </c>
      <c r="G300" s="2">
        <v>859.1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70</v>
      </c>
      <c r="N300" s="2">
        <v>0</v>
      </c>
      <c r="O300" s="2">
        <v>50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W300" s="2">
        <v>0</v>
      </c>
      <c r="X300" s="2">
        <v>979.1</v>
      </c>
    </row>
    <row r="301" spans="1:24" x14ac:dyDescent="0.25">
      <c r="G301" s="2" t="s">
        <v>569</v>
      </c>
    </row>
    <row r="302" spans="1:24" x14ac:dyDescent="0.25">
      <c r="A302" s="2">
        <v>148</v>
      </c>
      <c r="B302" s="2">
        <v>14425</v>
      </c>
      <c r="C302" s="2" t="s">
        <v>570</v>
      </c>
      <c r="D302" s="2" t="s">
        <v>571</v>
      </c>
      <c r="E302" s="2" t="s">
        <v>16</v>
      </c>
      <c r="F302" s="2" t="s">
        <v>572</v>
      </c>
      <c r="G302" s="2">
        <v>979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W302" s="2">
        <v>0</v>
      </c>
      <c r="X302" s="2">
        <v>979</v>
      </c>
    </row>
    <row r="303" spans="1:24" x14ac:dyDescent="0.25">
      <c r="G303" s="2" t="s">
        <v>573</v>
      </c>
    </row>
    <row r="304" spans="1:24" x14ac:dyDescent="0.25">
      <c r="A304" s="2">
        <v>149</v>
      </c>
      <c r="B304" s="2">
        <v>9756</v>
      </c>
      <c r="C304" s="2" t="s">
        <v>574</v>
      </c>
      <c r="D304" s="2" t="s">
        <v>56</v>
      </c>
      <c r="E304" s="2" t="s">
        <v>575</v>
      </c>
      <c r="F304" s="2" t="s">
        <v>576</v>
      </c>
      <c r="G304" s="2">
        <v>948.2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30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W304" s="2">
        <v>0</v>
      </c>
      <c r="X304" s="2">
        <v>978.2</v>
      </c>
    </row>
    <row r="305" spans="1:24" x14ac:dyDescent="0.25">
      <c r="G305" s="2" t="s">
        <v>577</v>
      </c>
    </row>
    <row r="306" spans="1:24" x14ac:dyDescent="0.25">
      <c r="A306" s="2">
        <v>150</v>
      </c>
      <c r="B306" s="2">
        <v>14862</v>
      </c>
      <c r="C306" s="2" t="s">
        <v>578</v>
      </c>
      <c r="D306" s="2" t="s">
        <v>579</v>
      </c>
      <c r="E306" s="2" t="s">
        <v>51</v>
      </c>
      <c r="F306" s="2" t="s">
        <v>580</v>
      </c>
      <c r="G306" s="2">
        <v>948.2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30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W306" s="2">
        <v>0</v>
      </c>
      <c r="X306" s="2">
        <v>978.2</v>
      </c>
    </row>
    <row r="307" spans="1:24" x14ac:dyDescent="0.25">
      <c r="G307" s="2" t="s">
        <v>581</v>
      </c>
    </row>
    <row r="308" spans="1:24" x14ac:dyDescent="0.25">
      <c r="A308" s="2">
        <v>151</v>
      </c>
      <c r="B308" s="2">
        <v>2588</v>
      </c>
      <c r="C308" s="2" t="s">
        <v>582</v>
      </c>
      <c r="D308" s="2" t="s">
        <v>583</v>
      </c>
      <c r="E308" s="2" t="s">
        <v>103</v>
      </c>
      <c r="F308" s="2" t="s">
        <v>584</v>
      </c>
      <c r="G308" s="2">
        <v>907.5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70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W308" s="2">
        <v>0</v>
      </c>
      <c r="X308" s="2">
        <v>977.5</v>
      </c>
    </row>
    <row r="309" spans="1:24" x14ac:dyDescent="0.25">
      <c r="G309" s="2" t="s">
        <v>585</v>
      </c>
    </row>
    <row r="310" spans="1:24" x14ac:dyDescent="0.25">
      <c r="A310" s="2">
        <v>152</v>
      </c>
      <c r="B310" s="2">
        <v>814</v>
      </c>
      <c r="C310" s="2" t="s">
        <v>586</v>
      </c>
      <c r="D310" s="2" t="s">
        <v>199</v>
      </c>
      <c r="E310" s="2" t="s">
        <v>194</v>
      </c>
      <c r="F310" s="2" t="s">
        <v>587</v>
      </c>
      <c r="G310" s="2">
        <v>707.3</v>
      </c>
      <c r="H310" s="2">
        <v>0</v>
      </c>
      <c r="I310" s="2">
        <v>0</v>
      </c>
      <c r="J310" s="2">
        <v>0</v>
      </c>
      <c r="K310" s="2">
        <v>200</v>
      </c>
      <c r="L310" s="2">
        <v>0</v>
      </c>
      <c r="M310" s="2">
        <v>70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W310" s="2">
        <v>0</v>
      </c>
      <c r="X310" s="2">
        <v>977.3</v>
      </c>
    </row>
    <row r="311" spans="1:24" x14ac:dyDescent="0.25">
      <c r="G311" s="2" t="s">
        <v>588</v>
      </c>
    </row>
    <row r="312" spans="1:24" x14ac:dyDescent="0.25">
      <c r="A312" s="2">
        <v>153</v>
      </c>
      <c r="B312" s="2">
        <v>10324</v>
      </c>
      <c r="C312" s="2" t="s">
        <v>589</v>
      </c>
      <c r="D312" s="2" t="s">
        <v>89</v>
      </c>
      <c r="E312" s="2" t="s">
        <v>590</v>
      </c>
      <c r="F312" s="2" t="s">
        <v>591</v>
      </c>
      <c r="G312" s="2">
        <v>906.4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70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W312" s="2">
        <v>0</v>
      </c>
      <c r="X312" s="2">
        <v>976.4</v>
      </c>
    </row>
    <row r="313" spans="1:24" x14ac:dyDescent="0.25">
      <c r="G313" s="2" t="s">
        <v>592</v>
      </c>
    </row>
    <row r="314" spans="1:24" x14ac:dyDescent="0.25">
      <c r="A314" s="2">
        <v>154</v>
      </c>
      <c r="B314" s="2">
        <v>16485</v>
      </c>
      <c r="C314" s="2" t="s">
        <v>593</v>
      </c>
      <c r="D314" s="2" t="s">
        <v>275</v>
      </c>
      <c r="E314" s="2" t="s">
        <v>73</v>
      </c>
      <c r="F314" s="2" t="s">
        <v>594</v>
      </c>
      <c r="G314" s="2">
        <v>796.4</v>
      </c>
      <c r="H314" s="2">
        <v>150</v>
      </c>
      <c r="I314" s="2">
        <v>0</v>
      </c>
      <c r="J314" s="2">
        <v>0</v>
      </c>
      <c r="K314" s="2">
        <v>0</v>
      </c>
      <c r="L314" s="2">
        <v>0</v>
      </c>
      <c r="M314" s="2">
        <v>30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W314" s="2">
        <v>0</v>
      </c>
      <c r="X314" s="2">
        <v>976.4</v>
      </c>
    </row>
    <row r="315" spans="1:24" x14ac:dyDescent="0.25">
      <c r="G315" s="2" t="s">
        <v>595</v>
      </c>
    </row>
    <row r="316" spans="1:24" x14ac:dyDescent="0.25">
      <c r="A316" s="2">
        <v>155</v>
      </c>
      <c r="B316" s="2">
        <v>4230</v>
      </c>
      <c r="C316" s="2" t="s">
        <v>596</v>
      </c>
      <c r="D316" s="2" t="s">
        <v>395</v>
      </c>
      <c r="E316" s="2" t="s">
        <v>597</v>
      </c>
      <c r="F316" s="2" t="s">
        <v>598</v>
      </c>
      <c r="G316" s="2">
        <v>926.2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50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W316" s="2">
        <v>0</v>
      </c>
      <c r="X316" s="2">
        <v>976.2</v>
      </c>
    </row>
    <row r="317" spans="1:24" x14ac:dyDescent="0.25">
      <c r="G317" s="2" t="s">
        <v>599</v>
      </c>
    </row>
    <row r="318" spans="1:24" x14ac:dyDescent="0.25">
      <c r="A318" s="2">
        <v>156</v>
      </c>
      <c r="B318" s="2">
        <v>11751</v>
      </c>
      <c r="C318" s="2" t="s">
        <v>600</v>
      </c>
      <c r="D318" s="2" t="s">
        <v>148</v>
      </c>
      <c r="E318" s="2" t="s">
        <v>39</v>
      </c>
      <c r="F318" s="2" t="s">
        <v>601</v>
      </c>
      <c r="G318" s="2">
        <v>944.9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30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W318" s="2">
        <v>0</v>
      </c>
      <c r="X318" s="2">
        <v>974.9</v>
      </c>
    </row>
    <row r="319" spans="1:24" x14ac:dyDescent="0.25">
      <c r="G319" s="2" t="s">
        <v>602</v>
      </c>
    </row>
    <row r="320" spans="1:24" x14ac:dyDescent="0.25">
      <c r="A320" s="2">
        <v>157</v>
      </c>
      <c r="B320" s="2">
        <v>5819</v>
      </c>
      <c r="C320" s="2" t="s">
        <v>604</v>
      </c>
      <c r="D320" s="2" t="s">
        <v>373</v>
      </c>
      <c r="E320" s="2" t="s">
        <v>346</v>
      </c>
      <c r="F320" s="2" t="s">
        <v>605</v>
      </c>
      <c r="G320" s="2">
        <v>941.6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30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W320" s="2">
        <v>2</v>
      </c>
      <c r="X320" s="2">
        <v>971.6</v>
      </c>
    </row>
    <row r="321" spans="1:24" x14ac:dyDescent="0.25">
      <c r="G321" s="2" t="s">
        <v>606</v>
      </c>
    </row>
    <row r="322" spans="1:24" x14ac:dyDescent="0.25">
      <c r="A322" s="2">
        <v>158</v>
      </c>
      <c r="B322" s="2">
        <v>2608</v>
      </c>
      <c r="C322" s="2" t="s">
        <v>607</v>
      </c>
      <c r="D322" s="2" t="s">
        <v>112</v>
      </c>
      <c r="E322" s="2" t="s">
        <v>374</v>
      </c>
      <c r="F322" s="2" t="s">
        <v>608</v>
      </c>
      <c r="G322" s="2">
        <v>971.3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W322" s="2">
        <v>0</v>
      </c>
      <c r="X322" s="2">
        <v>971.3</v>
      </c>
    </row>
    <row r="323" spans="1:24" x14ac:dyDescent="0.25">
      <c r="G323" s="2" t="s">
        <v>609</v>
      </c>
    </row>
    <row r="324" spans="1:24" x14ac:dyDescent="0.25">
      <c r="A324" s="2">
        <v>159</v>
      </c>
      <c r="B324" s="2">
        <v>17316</v>
      </c>
      <c r="C324" s="2" t="s">
        <v>610</v>
      </c>
      <c r="D324" s="2" t="s">
        <v>365</v>
      </c>
      <c r="E324" s="2" t="s">
        <v>342</v>
      </c>
      <c r="F324" s="2" t="s">
        <v>611</v>
      </c>
      <c r="G324" s="2">
        <v>938.3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30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W324" s="2">
        <v>0</v>
      </c>
      <c r="X324" s="2">
        <v>968.3</v>
      </c>
    </row>
    <row r="325" spans="1:24" x14ac:dyDescent="0.25">
      <c r="G325" s="2" t="s">
        <v>612</v>
      </c>
    </row>
    <row r="326" spans="1:24" x14ac:dyDescent="0.25">
      <c r="A326" s="2">
        <v>160</v>
      </c>
      <c r="B326" s="2">
        <v>3635</v>
      </c>
      <c r="C326" s="2" t="s">
        <v>613</v>
      </c>
      <c r="D326" s="2" t="s">
        <v>84</v>
      </c>
      <c r="E326" s="2" t="s">
        <v>51</v>
      </c>
      <c r="F326" s="2" t="s">
        <v>614</v>
      </c>
      <c r="G326" s="2">
        <v>738.1</v>
      </c>
      <c r="H326" s="2">
        <v>0</v>
      </c>
      <c r="I326" s="2">
        <v>0</v>
      </c>
      <c r="J326" s="2">
        <v>0</v>
      </c>
      <c r="K326" s="2">
        <v>200</v>
      </c>
      <c r="L326" s="2">
        <v>0</v>
      </c>
      <c r="M326" s="2">
        <v>30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W326" s="2">
        <v>0</v>
      </c>
      <c r="X326" s="2">
        <v>968.1</v>
      </c>
    </row>
    <row r="327" spans="1:24" x14ac:dyDescent="0.25">
      <c r="G327" s="2" t="s">
        <v>615</v>
      </c>
    </row>
    <row r="328" spans="1:24" x14ac:dyDescent="0.25">
      <c r="A328" s="2">
        <v>161</v>
      </c>
      <c r="B328" s="2">
        <v>3252</v>
      </c>
      <c r="C328" s="2" t="s">
        <v>616</v>
      </c>
      <c r="D328" s="2" t="s">
        <v>112</v>
      </c>
      <c r="E328" s="2" t="s">
        <v>127</v>
      </c>
      <c r="F328" s="2" t="s">
        <v>617</v>
      </c>
      <c r="G328" s="2">
        <v>767.8</v>
      </c>
      <c r="H328" s="2">
        <v>0</v>
      </c>
      <c r="I328" s="2">
        <v>0</v>
      </c>
      <c r="J328" s="2">
        <v>0</v>
      </c>
      <c r="K328" s="2">
        <v>200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W328" s="2">
        <v>0</v>
      </c>
      <c r="X328" s="2">
        <v>967.8</v>
      </c>
    </row>
    <row r="329" spans="1:24" x14ac:dyDescent="0.25">
      <c r="G329" s="2" t="s">
        <v>618</v>
      </c>
    </row>
    <row r="330" spans="1:24" x14ac:dyDescent="0.25">
      <c r="A330" s="2">
        <v>162</v>
      </c>
      <c r="B330" s="2">
        <v>17689</v>
      </c>
      <c r="C330" s="2" t="s">
        <v>619</v>
      </c>
      <c r="D330" s="2" t="s">
        <v>620</v>
      </c>
      <c r="E330" s="2" t="s">
        <v>39</v>
      </c>
      <c r="F330" s="2" t="s">
        <v>621</v>
      </c>
      <c r="G330" s="2">
        <v>937.2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30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W330" s="2">
        <v>0</v>
      </c>
      <c r="X330" s="2">
        <v>967.2</v>
      </c>
    </row>
    <row r="331" spans="1:24" x14ac:dyDescent="0.25">
      <c r="G331" s="2" t="s">
        <v>622</v>
      </c>
    </row>
    <row r="332" spans="1:24" x14ac:dyDescent="0.25">
      <c r="A332" s="2">
        <v>163</v>
      </c>
      <c r="B332" s="2">
        <v>12989</v>
      </c>
      <c r="C332" s="2" t="s">
        <v>623</v>
      </c>
      <c r="D332" s="2" t="s">
        <v>112</v>
      </c>
      <c r="E332" s="2" t="s">
        <v>39</v>
      </c>
      <c r="F332" s="2" t="s">
        <v>624</v>
      </c>
      <c r="G332" s="2">
        <v>737</v>
      </c>
      <c r="H332" s="2">
        <v>0</v>
      </c>
      <c r="I332" s="2">
        <v>0</v>
      </c>
      <c r="J332" s="2">
        <v>0</v>
      </c>
      <c r="K332" s="2">
        <v>200</v>
      </c>
      <c r="L332" s="2">
        <v>0</v>
      </c>
      <c r="M332" s="2">
        <v>30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W332" s="2">
        <v>0</v>
      </c>
      <c r="X332" s="2">
        <v>967</v>
      </c>
    </row>
    <row r="333" spans="1:24" x14ac:dyDescent="0.25">
      <c r="G333" s="2" t="s">
        <v>625</v>
      </c>
    </row>
    <row r="334" spans="1:24" x14ac:dyDescent="0.25">
      <c r="A334" s="2">
        <v>164</v>
      </c>
      <c r="B334" s="2">
        <v>733</v>
      </c>
      <c r="C334" s="2" t="s">
        <v>626</v>
      </c>
      <c r="D334" s="2" t="s">
        <v>627</v>
      </c>
      <c r="E334" s="2" t="s">
        <v>194</v>
      </c>
      <c r="F334" s="2" t="s">
        <v>628</v>
      </c>
      <c r="G334" s="2">
        <v>936.1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30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W334" s="2">
        <v>0</v>
      </c>
      <c r="X334" s="2">
        <v>966.1</v>
      </c>
    </row>
    <row r="335" spans="1:24" x14ac:dyDescent="0.25">
      <c r="G335" s="2" t="s">
        <v>629</v>
      </c>
    </row>
    <row r="336" spans="1:24" x14ac:dyDescent="0.25">
      <c r="A336" s="2">
        <v>165</v>
      </c>
      <c r="B336" s="2">
        <v>15647</v>
      </c>
      <c r="C336" s="2" t="s">
        <v>630</v>
      </c>
      <c r="D336" s="2" t="s">
        <v>117</v>
      </c>
      <c r="E336" s="2" t="s">
        <v>90</v>
      </c>
      <c r="F336" s="2" t="s">
        <v>631</v>
      </c>
      <c r="G336" s="2">
        <v>845.9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70</v>
      </c>
      <c r="N336" s="2">
        <v>50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W336" s="2">
        <v>0</v>
      </c>
      <c r="X336" s="2">
        <v>965.9</v>
      </c>
    </row>
    <row r="337" spans="1:24" x14ac:dyDescent="0.25">
      <c r="G337" s="2" t="s">
        <v>632</v>
      </c>
    </row>
    <row r="338" spans="1:24" x14ac:dyDescent="0.25">
      <c r="A338" s="2">
        <v>166</v>
      </c>
      <c r="B338" s="2">
        <v>8197</v>
      </c>
      <c r="C338" s="2" t="s">
        <v>633</v>
      </c>
      <c r="D338" s="2" t="s">
        <v>634</v>
      </c>
      <c r="E338" s="2" t="s">
        <v>635</v>
      </c>
      <c r="F338" s="2" t="s">
        <v>636</v>
      </c>
      <c r="G338" s="2">
        <v>865.7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70</v>
      </c>
      <c r="N338" s="2">
        <v>0</v>
      </c>
      <c r="O338" s="2">
        <v>0</v>
      </c>
      <c r="P338" s="2">
        <v>30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W338" s="2">
        <v>0</v>
      </c>
      <c r="X338" s="2">
        <v>965.7</v>
      </c>
    </row>
    <row r="339" spans="1:24" x14ac:dyDescent="0.25">
      <c r="G339" s="2" t="s">
        <v>637</v>
      </c>
    </row>
    <row r="340" spans="1:24" x14ac:dyDescent="0.25">
      <c r="A340" s="2">
        <v>167</v>
      </c>
      <c r="B340" s="2">
        <v>1211</v>
      </c>
      <c r="C340" s="2" t="s">
        <v>142</v>
      </c>
      <c r="D340" s="2" t="s">
        <v>132</v>
      </c>
      <c r="E340" s="2" t="s">
        <v>148</v>
      </c>
      <c r="F340" s="2" t="s">
        <v>639</v>
      </c>
      <c r="G340" s="2">
        <v>935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30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W340" s="2">
        <v>1</v>
      </c>
      <c r="X340" s="2">
        <v>965</v>
      </c>
    </row>
    <row r="341" spans="1:24" x14ac:dyDescent="0.25">
      <c r="G341" s="2" t="s">
        <v>640</v>
      </c>
    </row>
    <row r="342" spans="1:24" x14ac:dyDescent="0.25">
      <c r="A342" s="2">
        <v>168</v>
      </c>
      <c r="B342" s="2">
        <v>308</v>
      </c>
      <c r="C342" s="2" t="s">
        <v>641</v>
      </c>
      <c r="D342" s="2" t="s">
        <v>39</v>
      </c>
      <c r="E342" s="2" t="s">
        <v>642</v>
      </c>
      <c r="F342" s="2" t="s">
        <v>643</v>
      </c>
      <c r="G342" s="2">
        <v>935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30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W342" s="2">
        <v>0</v>
      </c>
      <c r="X342" s="2">
        <v>965</v>
      </c>
    </row>
    <row r="343" spans="1:24" x14ac:dyDescent="0.25">
      <c r="G343" s="2" t="s">
        <v>644</v>
      </c>
    </row>
    <row r="344" spans="1:24" x14ac:dyDescent="0.25">
      <c r="A344" s="2">
        <v>169</v>
      </c>
      <c r="B344" s="2">
        <v>5896</v>
      </c>
      <c r="C344" s="2" t="s">
        <v>645</v>
      </c>
      <c r="D344" s="2" t="s">
        <v>89</v>
      </c>
      <c r="E344" s="2" t="s">
        <v>194</v>
      </c>
      <c r="F344" s="2" t="s">
        <v>646</v>
      </c>
      <c r="G344" s="2">
        <v>963.6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W344" s="2">
        <v>0</v>
      </c>
      <c r="X344" s="2">
        <v>963.6</v>
      </c>
    </row>
    <row r="345" spans="1:24" x14ac:dyDescent="0.25">
      <c r="G345" s="2" t="s">
        <v>647</v>
      </c>
    </row>
    <row r="346" spans="1:24" x14ac:dyDescent="0.25">
      <c r="A346" s="2">
        <v>170</v>
      </c>
      <c r="B346" s="2">
        <v>4525</v>
      </c>
      <c r="C346" s="2" t="s">
        <v>648</v>
      </c>
      <c r="D346" s="2" t="s">
        <v>94</v>
      </c>
      <c r="E346" s="2" t="s">
        <v>194</v>
      </c>
      <c r="F346" s="2" t="s">
        <v>649</v>
      </c>
      <c r="G346" s="2">
        <v>893.2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70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W346" s="2">
        <v>0</v>
      </c>
      <c r="X346" s="2">
        <v>963.2</v>
      </c>
    </row>
    <row r="347" spans="1:24" x14ac:dyDescent="0.25">
      <c r="G347" s="2" t="s">
        <v>545</v>
      </c>
    </row>
    <row r="348" spans="1:24" x14ac:dyDescent="0.25">
      <c r="A348" s="2">
        <v>171</v>
      </c>
      <c r="B348" s="2">
        <v>11514</v>
      </c>
      <c r="C348" s="2" t="s">
        <v>650</v>
      </c>
      <c r="D348" s="2" t="s">
        <v>248</v>
      </c>
      <c r="E348" s="2" t="s">
        <v>651</v>
      </c>
      <c r="F348" s="2" t="s">
        <v>652</v>
      </c>
      <c r="G348" s="2">
        <v>893.2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70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W348" s="2">
        <v>0</v>
      </c>
      <c r="X348" s="2">
        <v>963.2</v>
      </c>
    </row>
    <row r="349" spans="1:24" x14ac:dyDescent="0.25">
      <c r="G349" s="2" t="s">
        <v>653</v>
      </c>
    </row>
    <row r="350" spans="1:24" x14ac:dyDescent="0.25">
      <c r="A350" s="2">
        <v>172</v>
      </c>
      <c r="B350" s="2">
        <v>12015</v>
      </c>
      <c r="C350" s="2" t="s">
        <v>654</v>
      </c>
      <c r="D350" s="2" t="s">
        <v>56</v>
      </c>
      <c r="E350" s="2" t="s">
        <v>39</v>
      </c>
      <c r="F350" s="2" t="s">
        <v>655</v>
      </c>
      <c r="G350" s="2">
        <v>913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50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W350" s="2">
        <v>0</v>
      </c>
      <c r="X350" s="2">
        <v>963</v>
      </c>
    </row>
    <row r="351" spans="1:24" x14ac:dyDescent="0.25">
      <c r="G351" s="2" t="s">
        <v>656</v>
      </c>
    </row>
    <row r="352" spans="1:24" x14ac:dyDescent="0.25">
      <c r="A352" s="2">
        <v>173</v>
      </c>
      <c r="B352" s="2">
        <v>717</v>
      </c>
      <c r="C352" s="2" t="s">
        <v>657</v>
      </c>
      <c r="D352" s="2" t="s">
        <v>658</v>
      </c>
      <c r="E352" s="2" t="s">
        <v>39</v>
      </c>
      <c r="F352" s="2" t="s">
        <v>659</v>
      </c>
      <c r="G352" s="2">
        <v>931.7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30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W352" s="2">
        <v>0</v>
      </c>
      <c r="X352" s="2">
        <v>961.7</v>
      </c>
    </row>
    <row r="353" spans="1:24" x14ac:dyDescent="0.25">
      <c r="G353" s="2" t="s">
        <v>660</v>
      </c>
    </row>
    <row r="354" spans="1:24" x14ac:dyDescent="0.25">
      <c r="A354" s="2">
        <v>174</v>
      </c>
      <c r="B354" s="2">
        <v>8145</v>
      </c>
      <c r="C354" s="2" t="s">
        <v>661</v>
      </c>
      <c r="D354" s="2" t="s">
        <v>662</v>
      </c>
      <c r="E354" s="2" t="s">
        <v>663</v>
      </c>
      <c r="F354" s="2" t="s">
        <v>664</v>
      </c>
      <c r="G354" s="2">
        <v>761.2</v>
      </c>
      <c r="H354" s="2">
        <v>0</v>
      </c>
      <c r="I354" s="2">
        <v>0</v>
      </c>
      <c r="J354" s="2">
        <v>0</v>
      </c>
      <c r="K354" s="2">
        <v>200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W354" s="2">
        <v>0</v>
      </c>
      <c r="X354" s="2">
        <v>961.2</v>
      </c>
    </row>
    <row r="355" spans="1:24" x14ac:dyDescent="0.25">
      <c r="G355" s="2" t="s">
        <v>665</v>
      </c>
    </row>
    <row r="356" spans="1:24" x14ac:dyDescent="0.25">
      <c r="A356" s="2">
        <v>175</v>
      </c>
      <c r="B356" s="2">
        <v>12183</v>
      </c>
      <c r="C356" s="2" t="s">
        <v>666</v>
      </c>
      <c r="D356" s="2" t="s">
        <v>107</v>
      </c>
      <c r="E356" s="2" t="s">
        <v>138</v>
      </c>
      <c r="F356" s="2" t="s">
        <v>667</v>
      </c>
      <c r="G356" s="2">
        <v>930.6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30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W356" s="2">
        <v>0</v>
      </c>
      <c r="X356" s="2">
        <v>960.6</v>
      </c>
    </row>
    <row r="357" spans="1:24" x14ac:dyDescent="0.25">
      <c r="G357" s="2" t="s">
        <v>668</v>
      </c>
    </row>
    <row r="358" spans="1:24" x14ac:dyDescent="0.25">
      <c r="A358" s="2">
        <v>176</v>
      </c>
      <c r="B358" s="2">
        <v>7975</v>
      </c>
      <c r="C358" s="2" t="s">
        <v>669</v>
      </c>
      <c r="D358" s="2" t="s">
        <v>634</v>
      </c>
      <c r="E358" s="2" t="s">
        <v>127</v>
      </c>
      <c r="F358" s="2" t="s">
        <v>670</v>
      </c>
      <c r="G358" s="2">
        <v>840.4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70</v>
      </c>
      <c r="N358" s="2">
        <v>0</v>
      </c>
      <c r="O358" s="2">
        <v>50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W358" s="2">
        <v>0</v>
      </c>
      <c r="X358" s="2">
        <v>960.4</v>
      </c>
    </row>
    <row r="359" spans="1:24" x14ac:dyDescent="0.25">
      <c r="G359" s="2" t="s">
        <v>671</v>
      </c>
    </row>
    <row r="360" spans="1:24" x14ac:dyDescent="0.25">
      <c r="A360" s="2">
        <v>177</v>
      </c>
      <c r="B360" s="2">
        <v>9204</v>
      </c>
      <c r="C360" s="2" t="s">
        <v>672</v>
      </c>
      <c r="D360" s="2" t="s">
        <v>673</v>
      </c>
      <c r="E360" s="2" t="s">
        <v>118</v>
      </c>
      <c r="F360" s="2" t="s">
        <v>674</v>
      </c>
      <c r="G360" s="2">
        <v>929.5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30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W360" s="2">
        <v>0</v>
      </c>
      <c r="X360" s="2">
        <v>959.5</v>
      </c>
    </row>
    <row r="361" spans="1:24" x14ac:dyDescent="0.25">
      <c r="G361" s="2" t="s">
        <v>675</v>
      </c>
    </row>
    <row r="362" spans="1:24" x14ac:dyDescent="0.25">
      <c r="A362" s="2">
        <v>178</v>
      </c>
      <c r="B362" s="2">
        <v>3385</v>
      </c>
      <c r="C362" s="2" t="s">
        <v>676</v>
      </c>
      <c r="D362" s="2" t="s">
        <v>677</v>
      </c>
      <c r="E362" s="2" t="s">
        <v>73</v>
      </c>
      <c r="F362" s="2" t="s">
        <v>678</v>
      </c>
      <c r="G362" s="2">
        <v>928.4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30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W362" s="2">
        <v>0</v>
      </c>
      <c r="X362" s="2">
        <v>958.4</v>
      </c>
    </row>
    <row r="363" spans="1:24" x14ac:dyDescent="0.25">
      <c r="G363" s="2" t="s">
        <v>679</v>
      </c>
    </row>
    <row r="364" spans="1:24" x14ac:dyDescent="0.25">
      <c r="A364" s="2">
        <v>179</v>
      </c>
      <c r="B364" s="2">
        <v>11438</v>
      </c>
      <c r="C364" s="2" t="s">
        <v>680</v>
      </c>
      <c r="D364" s="2" t="s">
        <v>182</v>
      </c>
      <c r="E364" s="2" t="s">
        <v>39</v>
      </c>
      <c r="F364" s="2" t="s">
        <v>681</v>
      </c>
      <c r="G364" s="2">
        <v>728.2</v>
      </c>
      <c r="H364" s="2">
        <v>0</v>
      </c>
      <c r="I364" s="2">
        <v>0</v>
      </c>
      <c r="J364" s="2">
        <v>0</v>
      </c>
      <c r="K364" s="2">
        <v>200</v>
      </c>
      <c r="L364" s="2">
        <v>0</v>
      </c>
      <c r="M364" s="2">
        <v>30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W364" s="2">
        <v>0</v>
      </c>
      <c r="X364" s="2">
        <v>958.2</v>
      </c>
    </row>
    <row r="365" spans="1:24" x14ac:dyDescent="0.25">
      <c r="G365" s="2" t="s">
        <v>682</v>
      </c>
    </row>
    <row r="366" spans="1:24" x14ac:dyDescent="0.25">
      <c r="A366" s="2">
        <v>180</v>
      </c>
      <c r="B366" s="2">
        <v>930</v>
      </c>
      <c r="C366" s="2" t="s">
        <v>683</v>
      </c>
      <c r="D366" s="2" t="s">
        <v>268</v>
      </c>
      <c r="E366" s="2" t="s">
        <v>39</v>
      </c>
      <c r="F366" s="2" t="s">
        <v>684</v>
      </c>
      <c r="G366" s="2">
        <v>958.1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W366" s="2">
        <v>1</v>
      </c>
      <c r="X366" s="2">
        <v>958.1</v>
      </c>
    </row>
    <row r="367" spans="1:24" x14ac:dyDescent="0.25">
      <c r="G367" s="2" t="s">
        <v>685</v>
      </c>
    </row>
    <row r="368" spans="1:24" x14ac:dyDescent="0.25">
      <c r="A368" s="2">
        <v>181</v>
      </c>
      <c r="B368" s="2">
        <v>8613</v>
      </c>
      <c r="C368" s="2" t="s">
        <v>686</v>
      </c>
      <c r="D368" s="2" t="s">
        <v>687</v>
      </c>
      <c r="E368" s="2" t="s">
        <v>16</v>
      </c>
      <c r="F368" s="2" t="s">
        <v>688</v>
      </c>
      <c r="G368" s="2">
        <v>887.7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70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W368" s="2">
        <v>0</v>
      </c>
      <c r="X368" s="2">
        <v>957.7</v>
      </c>
    </row>
    <row r="369" spans="1:24" x14ac:dyDescent="0.25">
      <c r="G369" s="2" t="s">
        <v>689</v>
      </c>
    </row>
    <row r="370" spans="1:24" x14ac:dyDescent="0.25">
      <c r="A370" s="2">
        <v>182</v>
      </c>
      <c r="B370" s="2">
        <v>12640</v>
      </c>
      <c r="C370" s="2" t="s">
        <v>690</v>
      </c>
      <c r="D370" s="2" t="s">
        <v>691</v>
      </c>
      <c r="E370" s="2" t="s">
        <v>90</v>
      </c>
      <c r="F370" s="2" t="s">
        <v>692</v>
      </c>
      <c r="G370" s="2">
        <v>907.5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50</v>
      </c>
      <c r="N370" s="2">
        <v>0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W370" s="2">
        <v>0</v>
      </c>
      <c r="X370" s="2">
        <v>957.5</v>
      </c>
    </row>
    <row r="371" spans="1:24" x14ac:dyDescent="0.25">
      <c r="G371" s="2" t="s">
        <v>693</v>
      </c>
    </row>
    <row r="372" spans="1:24" x14ac:dyDescent="0.25">
      <c r="A372" s="2">
        <v>183</v>
      </c>
      <c r="B372" s="2">
        <v>2165</v>
      </c>
      <c r="C372" s="2" t="s">
        <v>694</v>
      </c>
      <c r="D372" s="2" t="s">
        <v>695</v>
      </c>
      <c r="E372" s="2" t="s">
        <v>322</v>
      </c>
      <c r="F372" s="2" t="s">
        <v>696</v>
      </c>
      <c r="G372" s="2">
        <v>957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v>0</v>
      </c>
      <c r="W372" s="2">
        <v>0</v>
      </c>
      <c r="X372" s="2">
        <v>957</v>
      </c>
    </row>
    <row r="373" spans="1:24" x14ac:dyDescent="0.25">
      <c r="G373" s="2" t="s">
        <v>697</v>
      </c>
    </row>
    <row r="374" spans="1:24" x14ac:dyDescent="0.25">
      <c r="A374" s="2">
        <v>184</v>
      </c>
      <c r="B374" s="2">
        <v>13001</v>
      </c>
      <c r="C374" s="2" t="s">
        <v>698</v>
      </c>
      <c r="D374" s="2" t="s">
        <v>67</v>
      </c>
      <c r="E374" s="2" t="s">
        <v>79</v>
      </c>
      <c r="F374" s="2" t="s">
        <v>699</v>
      </c>
      <c r="G374" s="2">
        <v>886.6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70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W374" s="2">
        <v>0</v>
      </c>
      <c r="X374" s="2">
        <v>956.6</v>
      </c>
    </row>
    <row r="375" spans="1:24" x14ac:dyDescent="0.25">
      <c r="G375" s="2" t="s">
        <v>700</v>
      </c>
    </row>
    <row r="376" spans="1:24" x14ac:dyDescent="0.25">
      <c r="A376" s="2">
        <v>185</v>
      </c>
      <c r="B376" s="2">
        <v>12041</v>
      </c>
      <c r="C376" s="2" t="s">
        <v>702</v>
      </c>
      <c r="D376" s="2" t="s">
        <v>703</v>
      </c>
      <c r="E376" s="2" t="s">
        <v>16</v>
      </c>
      <c r="F376" s="2" t="s">
        <v>704</v>
      </c>
      <c r="G376" s="2">
        <v>906.4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50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W376" s="2">
        <v>2</v>
      </c>
      <c r="X376" s="2">
        <v>956.4</v>
      </c>
    </row>
    <row r="377" spans="1:24" x14ac:dyDescent="0.25">
      <c r="G377" s="2" t="s">
        <v>705</v>
      </c>
    </row>
    <row r="378" spans="1:24" x14ac:dyDescent="0.25">
      <c r="A378" s="2">
        <v>186</v>
      </c>
      <c r="B378" s="2">
        <v>7526</v>
      </c>
      <c r="C378" s="2" t="s">
        <v>706</v>
      </c>
      <c r="D378" s="2" t="s">
        <v>707</v>
      </c>
      <c r="E378" s="2" t="s">
        <v>73</v>
      </c>
      <c r="F378" s="2" t="s">
        <v>708</v>
      </c>
      <c r="G378" s="2">
        <v>885.5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70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W378" s="2">
        <v>0</v>
      </c>
      <c r="X378" s="2">
        <v>955.5</v>
      </c>
    </row>
    <row r="379" spans="1:24" x14ac:dyDescent="0.25">
      <c r="G379" s="2" t="s">
        <v>709</v>
      </c>
    </row>
    <row r="380" spans="1:24" x14ac:dyDescent="0.25">
      <c r="A380" s="2">
        <v>187</v>
      </c>
      <c r="B380" s="2">
        <v>7422</v>
      </c>
      <c r="C380" s="2" t="s">
        <v>710</v>
      </c>
      <c r="D380" s="2" t="s">
        <v>56</v>
      </c>
      <c r="E380" s="2" t="s">
        <v>108</v>
      </c>
      <c r="F380" s="2" t="s">
        <v>711</v>
      </c>
      <c r="G380" s="2">
        <v>925.1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30</v>
      </c>
      <c r="N380" s="2">
        <v>0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W380" s="2">
        <v>0</v>
      </c>
      <c r="X380" s="2">
        <v>955.1</v>
      </c>
    </row>
    <row r="381" spans="1:24" x14ac:dyDescent="0.25">
      <c r="G381" s="2" t="s">
        <v>712</v>
      </c>
    </row>
    <row r="382" spans="1:24" x14ac:dyDescent="0.25">
      <c r="A382" s="2">
        <v>188</v>
      </c>
      <c r="B382" s="2">
        <v>3725</v>
      </c>
      <c r="C382" s="2" t="s">
        <v>713</v>
      </c>
      <c r="D382" s="2" t="s">
        <v>107</v>
      </c>
      <c r="E382" s="2" t="s">
        <v>51</v>
      </c>
      <c r="F382" s="2" t="s">
        <v>714</v>
      </c>
      <c r="G382" s="2">
        <v>894.3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30</v>
      </c>
      <c r="N382" s="2">
        <v>30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W382" s="2">
        <v>0</v>
      </c>
      <c r="X382" s="2">
        <v>954.3</v>
      </c>
    </row>
    <row r="383" spans="1:24" x14ac:dyDescent="0.25">
      <c r="G383" s="2" t="s">
        <v>715</v>
      </c>
    </row>
    <row r="384" spans="1:24" x14ac:dyDescent="0.25">
      <c r="A384" s="2">
        <v>189</v>
      </c>
      <c r="B384" s="2">
        <v>10345</v>
      </c>
      <c r="C384" s="2" t="s">
        <v>716</v>
      </c>
      <c r="D384" s="2" t="s">
        <v>16</v>
      </c>
      <c r="E384" s="2" t="s">
        <v>194</v>
      </c>
      <c r="F384" s="2" t="s">
        <v>717</v>
      </c>
      <c r="G384" s="2">
        <v>904.2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50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v>0</v>
      </c>
      <c r="W384" s="2">
        <v>0</v>
      </c>
      <c r="X384" s="2">
        <v>954.2</v>
      </c>
    </row>
    <row r="385" spans="1:24" x14ac:dyDescent="0.25">
      <c r="G385" s="2" t="s">
        <v>718</v>
      </c>
    </row>
    <row r="386" spans="1:24" x14ac:dyDescent="0.25">
      <c r="A386" s="2">
        <v>190</v>
      </c>
      <c r="B386" s="2">
        <v>429</v>
      </c>
      <c r="C386" s="2" t="s">
        <v>719</v>
      </c>
      <c r="D386" s="2" t="s">
        <v>56</v>
      </c>
      <c r="E386" s="2" t="s">
        <v>342</v>
      </c>
      <c r="F386" s="2" t="s">
        <v>720</v>
      </c>
      <c r="G386" s="2">
        <v>924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30</v>
      </c>
      <c r="N386" s="2">
        <v>0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0</v>
      </c>
      <c r="W386" s="2">
        <v>0</v>
      </c>
      <c r="X386" s="2">
        <v>954</v>
      </c>
    </row>
    <row r="387" spans="1:24" x14ac:dyDescent="0.25">
      <c r="G387" s="2" t="s">
        <v>721</v>
      </c>
    </row>
    <row r="388" spans="1:24" x14ac:dyDescent="0.25">
      <c r="A388" s="2">
        <v>191</v>
      </c>
      <c r="B388" s="2">
        <v>4344</v>
      </c>
      <c r="C388" s="2" t="s">
        <v>722</v>
      </c>
      <c r="D388" s="2" t="s">
        <v>208</v>
      </c>
      <c r="E388" s="2" t="s">
        <v>723</v>
      </c>
      <c r="F388" s="2" t="s">
        <v>724</v>
      </c>
      <c r="G388" s="2">
        <v>853.6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70</v>
      </c>
      <c r="N388" s="2">
        <v>0</v>
      </c>
      <c r="O388" s="2">
        <v>0</v>
      </c>
      <c r="P388" s="2">
        <v>0</v>
      </c>
      <c r="Q388" s="2">
        <v>30</v>
      </c>
      <c r="R388" s="2">
        <v>0</v>
      </c>
      <c r="S388" s="2">
        <v>0</v>
      </c>
      <c r="T388" s="2">
        <v>0</v>
      </c>
      <c r="U388" s="2">
        <v>0</v>
      </c>
      <c r="W388" s="2">
        <v>0</v>
      </c>
      <c r="X388" s="2">
        <v>953.6</v>
      </c>
    </row>
    <row r="389" spans="1:24" x14ac:dyDescent="0.25">
      <c r="G389" s="2" t="s">
        <v>725</v>
      </c>
    </row>
    <row r="390" spans="1:24" x14ac:dyDescent="0.25">
      <c r="A390" s="2">
        <v>192</v>
      </c>
      <c r="B390" s="2">
        <v>10471</v>
      </c>
      <c r="C390" s="2" t="s">
        <v>726</v>
      </c>
      <c r="D390" s="2" t="s">
        <v>294</v>
      </c>
      <c r="E390" s="2" t="s">
        <v>194</v>
      </c>
      <c r="F390" s="2" t="s">
        <v>727</v>
      </c>
      <c r="G390" s="2">
        <v>922.9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30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W390" s="2">
        <v>0</v>
      </c>
      <c r="X390" s="2">
        <v>952.9</v>
      </c>
    </row>
    <row r="391" spans="1:24" x14ac:dyDescent="0.25">
      <c r="G391" s="2" t="s">
        <v>728</v>
      </c>
    </row>
    <row r="392" spans="1:24" x14ac:dyDescent="0.25">
      <c r="A392" s="2">
        <v>193</v>
      </c>
      <c r="B392" s="2">
        <v>6365</v>
      </c>
      <c r="C392" s="2" t="s">
        <v>729</v>
      </c>
      <c r="D392" s="2" t="s">
        <v>730</v>
      </c>
      <c r="E392" s="2" t="s">
        <v>108</v>
      </c>
      <c r="F392" s="2" t="s">
        <v>731</v>
      </c>
      <c r="G392" s="2">
        <v>952.6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W392" s="2">
        <v>0</v>
      </c>
      <c r="X392" s="2">
        <v>952.6</v>
      </c>
    </row>
    <row r="393" spans="1:24" x14ac:dyDescent="0.25">
      <c r="G393" s="2" t="s">
        <v>732</v>
      </c>
    </row>
    <row r="394" spans="1:24" x14ac:dyDescent="0.25">
      <c r="A394" s="2">
        <v>194</v>
      </c>
      <c r="B394" s="2">
        <v>611</v>
      </c>
      <c r="C394" s="2" t="s">
        <v>733</v>
      </c>
      <c r="D394" s="2" t="s">
        <v>264</v>
      </c>
      <c r="E394" s="2" t="s">
        <v>90</v>
      </c>
      <c r="F394" s="2" t="s">
        <v>734</v>
      </c>
      <c r="G394" s="2">
        <v>852.5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70</v>
      </c>
      <c r="N394" s="2">
        <v>0</v>
      </c>
      <c r="O394" s="2">
        <v>30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0</v>
      </c>
      <c r="W394" s="2">
        <v>0</v>
      </c>
      <c r="X394" s="2">
        <v>952.5</v>
      </c>
    </row>
    <row r="395" spans="1:24" x14ac:dyDescent="0.25">
      <c r="G395" s="2" t="s">
        <v>735</v>
      </c>
    </row>
    <row r="396" spans="1:24" x14ac:dyDescent="0.25">
      <c r="A396" s="2">
        <v>195</v>
      </c>
      <c r="B396" s="2">
        <v>6341</v>
      </c>
      <c r="C396" s="2" t="s">
        <v>736</v>
      </c>
      <c r="D396" s="2" t="s">
        <v>737</v>
      </c>
      <c r="E396" s="2" t="s">
        <v>597</v>
      </c>
      <c r="F396" s="2" t="s">
        <v>738</v>
      </c>
      <c r="G396" s="2">
        <v>882.2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70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W396" s="2">
        <v>0</v>
      </c>
      <c r="X396" s="2">
        <v>952.2</v>
      </c>
    </row>
    <row r="397" spans="1:24" x14ac:dyDescent="0.25">
      <c r="G397" s="2" t="s">
        <v>739</v>
      </c>
    </row>
    <row r="398" spans="1:24" x14ac:dyDescent="0.25">
      <c r="A398" s="2">
        <v>196</v>
      </c>
      <c r="B398" s="2">
        <v>1952</v>
      </c>
      <c r="C398" s="2" t="s">
        <v>740</v>
      </c>
      <c r="D398" s="2" t="s">
        <v>112</v>
      </c>
      <c r="E398" s="2" t="s">
        <v>73</v>
      </c>
      <c r="F398" s="2" t="s">
        <v>741</v>
      </c>
      <c r="G398" s="2">
        <v>882.2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70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0</v>
      </c>
      <c r="W398" s="2">
        <v>1</v>
      </c>
      <c r="X398" s="2">
        <v>952.2</v>
      </c>
    </row>
    <row r="399" spans="1:24" x14ac:dyDescent="0.25">
      <c r="G399" s="2" t="s">
        <v>742</v>
      </c>
    </row>
    <row r="400" spans="1:24" x14ac:dyDescent="0.25">
      <c r="A400" s="2">
        <v>197</v>
      </c>
      <c r="B400" s="2">
        <v>14072</v>
      </c>
      <c r="C400" s="2" t="s">
        <v>743</v>
      </c>
      <c r="D400" s="2" t="s">
        <v>50</v>
      </c>
      <c r="E400" s="2" t="s">
        <v>79</v>
      </c>
      <c r="F400" s="2" t="s">
        <v>744</v>
      </c>
      <c r="G400" s="2">
        <v>921.8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30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W400" s="2">
        <v>0</v>
      </c>
      <c r="X400" s="2">
        <v>951.8</v>
      </c>
    </row>
    <row r="401" spans="1:24" x14ac:dyDescent="0.25">
      <c r="G401" s="2" t="s">
        <v>745</v>
      </c>
    </row>
    <row r="402" spans="1:24" x14ac:dyDescent="0.25">
      <c r="A402" s="2">
        <v>198</v>
      </c>
      <c r="B402" s="2">
        <v>5531</v>
      </c>
      <c r="C402" s="2" t="s">
        <v>746</v>
      </c>
      <c r="D402" s="2" t="s">
        <v>747</v>
      </c>
      <c r="E402" s="2" t="s">
        <v>430</v>
      </c>
      <c r="F402" s="2" t="s">
        <v>748</v>
      </c>
      <c r="G402" s="2">
        <v>920.7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30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v>0</v>
      </c>
      <c r="W402" s="2">
        <v>0</v>
      </c>
      <c r="X402" s="2">
        <v>950.7</v>
      </c>
    </row>
    <row r="403" spans="1:24" x14ac:dyDescent="0.25">
      <c r="G403" s="2" t="s">
        <v>749</v>
      </c>
    </row>
    <row r="404" spans="1:24" x14ac:dyDescent="0.25">
      <c r="A404" s="2">
        <v>199</v>
      </c>
      <c r="B404" s="2">
        <v>1030</v>
      </c>
      <c r="C404" s="2" t="s">
        <v>750</v>
      </c>
      <c r="D404" s="2" t="s">
        <v>751</v>
      </c>
      <c r="E404" s="2" t="s">
        <v>73</v>
      </c>
      <c r="F404" s="2" t="s">
        <v>752</v>
      </c>
      <c r="G404" s="2">
        <v>920.7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30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W404" s="2">
        <v>0</v>
      </c>
      <c r="X404" s="2">
        <v>950.7</v>
      </c>
    </row>
    <row r="405" spans="1:24" x14ac:dyDescent="0.25">
      <c r="G405" s="2" t="s">
        <v>753</v>
      </c>
    </row>
    <row r="406" spans="1:24" x14ac:dyDescent="0.25">
      <c r="A406" s="2">
        <v>200</v>
      </c>
      <c r="B406" s="2">
        <v>5195</v>
      </c>
      <c r="C406" s="2" t="s">
        <v>754</v>
      </c>
      <c r="D406" s="2" t="s">
        <v>755</v>
      </c>
      <c r="E406" s="2" t="s">
        <v>51</v>
      </c>
      <c r="F406" s="2" t="s">
        <v>756</v>
      </c>
      <c r="G406" s="2">
        <v>720.5</v>
      </c>
      <c r="H406" s="2">
        <v>0</v>
      </c>
      <c r="I406" s="2">
        <v>0</v>
      </c>
      <c r="J406" s="2">
        <v>0</v>
      </c>
      <c r="K406" s="2">
        <v>200</v>
      </c>
      <c r="L406" s="2">
        <v>0</v>
      </c>
      <c r="M406" s="2">
        <v>30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W406" s="2">
        <v>0</v>
      </c>
      <c r="X406" s="2">
        <v>950.5</v>
      </c>
    </row>
    <row r="407" spans="1:24" x14ac:dyDescent="0.25">
      <c r="G407" s="2" t="s">
        <v>757</v>
      </c>
    </row>
    <row r="408" spans="1:24" x14ac:dyDescent="0.25">
      <c r="A408" s="2">
        <v>201</v>
      </c>
      <c r="B408" s="2">
        <v>1669</v>
      </c>
      <c r="C408" s="2" t="s">
        <v>758</v>
      </c>
      <c r="D408" s="2" t="s">
        <v>89</v>
      </c>
      <c r="E408" s="2" t="s">
        <v>39</v>
      </c>
      <c r="F408" s="2" t="s">
        <v>759</v>
      </c>
      <c r="G408" s="2">
        <v>850.3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70</v>
      </c>
      <c r="N408" s="2">
        <v>0</v>
      </c>
      <c r="O408" s="2">
        <v>0</v>
      </c>
      <c r="P408" s="2">
        <v>0</v>
      </c>
      <c r="Q408" s="2">
        <v>30</v>
      </c>
      <c r="R408" s="2">
        <v>0</v>
      </c>
      <c r="S408" s="2">
        <v>0</v>
      </c>
      <c r="T408" s="2">
        <v>0</v>
      </c>
      <c r="U408" s="2">
        <v>0</v>
      </c>
      <c r="W408" s="2">
        <v>0</v>
      </c>
      <c r="X408" s="2">
        <v>950.3</v>
      </c>
    </row>
    <row r="409" spans="1:24" x14ac:dyDescent="0.25">
      <c r="G409" s="2" t="s">
        <v>760</v>
      </c>
    </row>
    <row r="410" spans="1:24" x14ac:dyDescent="0.25">
      <c r="A410" s="2">
        <v>202</v>
      </c>
      <c r="B410" s="2">
        <v>7036</v>
      </c>
      <c r="C410" s="2" t="s">
        <v>761</v>
      </c>
      <c r="D410" s="2" t="s">
        <v>112</v>
      </c>
      <c r="E410" s="2" t="s">
        <v>298</v>
      </c>
      <c r="F410" s="2" t="s">
        <v>762</v>
      </c>
      <c r="G410" s="2">
        <v>750.2</v>
      </c>
      <c r="H410" s="2">
        <v>0</v>
      </c>
      <c r="I410" s="2">
        <v>0</v>
      </c>
      <c r="J410" s="2">
        <v>0</v>
      </c>
      <c r="K410" s="2">
        <v>200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W410" s="2">
        <v>0</v>
      </c>
      <c r="X410" s="2">
        <v>950.2</v>
      </c>
    </row>
    <row r="411" spans="1:24" x14ac:dyDescent="0.25">
      <c r="G411" s="2" t="s">
        <v>763</v>
      </c>
    </row>
    <row r="412" spans="1:24" x14ac:dyDescent="0.25">
      <c r="A412" s="2">
        <v>203</v>
      </c>
      <c r="B412" s="2">
        <v>14674</v>
      </c>
      <c r="C412" s="2" t="s">
        <v>764</v>
      </c>
      <c r="D412" s="2" t="s">
        <v>50</v>
      </c>
      <c r="E412" s="2" t="s">
        <v>16</v>
      </c>
      <c r="F412" s="2" t="s">
        <v>765</v>
      </c>
      <c r="G412" s="2">
        <v>888.8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30</v>
      </c>
      <c r="N412" s="2">
        <v>0</v>
      </c>
      <c r="O412" s="2">
        <v>30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v>0</v>
      </c>
      <c r="W412" s="2">
        <v>0</v>
      </c>
      <c r="X412" s="2">
        <v>948.8</v>
      </c>
    </row>
    <row r="413" spans="1:24" x14ac:dyDescent="0.25">
      <c r="G413" s="2" t="s">
        <v>766</v>
      </c>
    </row>
    <row r="414" spans="1:24" x14ac:dyDescent="0.25">
      <c r="A414" s="2">
        <v>204</v>
      </c>
      <c r="B414" s="2">
        <v>7254</v>
      </c>
      <c r="C414" s="2" t="s">
        <v>767</v>
      </c>
      <c r="D414" s="2" t="s">
        <v>235</v>
      </c>
      <c r="E414" s="2" t="s">
        <v>16</v>
      </c>
      <c r="F414" s="2" t="s">
        <v>768</v>
      </c>
      <c r="G414" s="2">
        <v>918.5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30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W414" s="2">
        <v>0</v>
      </c>
      <c r="X414" s="2">
        <v>948.5</v>
      </c>
    </row>
    <row r="415" spans="1:24" x14ac:dyDescent="0.25">
      <c r="G415" s="2" t="s">
        <v>769</v>
      </c>
    </row>
    <row r="416" spans="1:24" x14ac:dyDescent="0.25">
      <c r="A416" s="2">
        <v>205</v>
      </c>
      <c r="B416" s="2">
        <v>4505</v>
      </c>
      <c r="C416" s="2" t="s">
        <v>770</v>
      </c>
      <c r="D416" s="2" t="s">
        <v>248</v>
      </c>
      <c r="E416" s="2" t="s">
        <v>39</v>
      </c>
      <c r="F416" s="2" t="s">
        <v>771</v>
      </c>
      <c r="G416" s="2">
        <v>698.5</v>
      </c>
      <c r="H416" s="2">
        <v>0</v>
      </c>
      <c r="I416" s="2">
        <v>0</v>
      </c>
      <c r="J416" s="2">
        <v>0</v>
      </c>
      <c r="K416" s="2">
        <v>200</v>
      </c>
      <c r="L416" s="2">
        <v>0</v>
      </c>
      <c r="M416" s="2">
        <v>50</v>
      </c>
      <c r="N416" s="2">
        <v>0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v>0</v>
      </c>
      <c r="W416" s="2">
        <v>0</v>
      </c>
      <c r="X416" s="2">
        <v>948.5</v>
      </c>
    </row>
    <row r="417" spans="1:24" x14ac:dyDescent="0.25">
      <c r="G417" s="2" t="s">
        <v>772</v>
      </c>
    </row>
    <row r="418" spans="1:24" x14ac:dyDescent="0.25">
      <c r="A418" s="2">
        <v>206</v>
      </c>
      <c r="B418" s="2">
        <v>14647</v>
      </c>
      <c r="C418" s="2" t="s">
        <v>773</v>
      </c>
      <c r="D418" s="2" t="s">
        <v>127</v>
      </c>
      <c r="E418" s="2" t="s">
        <v>51</v>
      </c>
      <c r="F418" s="2" t="s">
        <v>774</v>
      </c>
      <c r="G418" s="2">
        <v>848.1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70</v>
      </c>
      <c r="N418" s="2">
        <v>30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W418" s="2">
        <v>0</v>
      </c>
      <c r="X418" s="2">
        <v>948.1</v>
      </c>
    </row>
    <row r="419" spans="1:24" x14ac:dyDescent="0.25">
      <c r="G419" s="2" t="s">
        <v>775</v>
      </c>
    </row>
    <row r="420" spans="1:24" x14ac:dyDescent="0.25">
      <c r="A420" s="2">
        <v>207</v>
      </c>
      <c r="B420" s="2">
        <v>1777</v>
      </c>
      <c r="C420" s="2" t="s">
        <v>776</v>
      </c>
      <c r="D420" s="2" t="s">
        <v>777</v>
      </c>
      <c r="E420" s="2" t="s">
        <v>39</v>
      </c>
      <c r="F420" s="2" t="s">
        <v>778</v>
      </c>
      <c r="G420" s="2">
        <v>897.6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50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W420" s="2">
        <v>0</v>
      </c>
      <c r="X420" s="2">
        <v>947.6</v>
      </c>
    </row>
    <row r="421" spans="1:24" x14ac:dyDescent="0.25">
      <c r="G421" s="2" t="s">
        <v>779</v>
      </c>
    </row>
    <row r="422" spans="1:24" x14ac:dyDescent="0.25">
      <c r="A422" s="2">
        <v>208</v>
      </c>
      <c r="B422" s="2">
        <v>4897</v>
      </c>
      <c r="C422" s="2" t="s">
        <v>780</v>
      </c>
      <c r="D422" s="2" t="s">
        <v>127</v>
      </c>
      <c r="E422" s="2" t="s">
        <v>103</v>
      </c>
      <c r="F422" s="2" t="s">
        <v>781</v>
      </c>
      <c r="G422" s="2">
        <v>917.4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30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W422" s="2">
        <v>0</v>
      </c>
      <c r="X422" s="2">
        <v>947.4</v>
      </c>
    </row>
    <row r="423" spans="1:24" x14ac:dyDescent="0.25">
      <c r="G423" s="2" t="s">
        <v>782</v>
      </c>
    </row>
    <row r="424" spans="1:24" x14ac:dyDescent="0.25">
      <c r="A424" s="2">
        <v>209</v>
      </c>
      <c r="B424" s="2">
        <v>15959</v>
      </c>
      <c r="C424" s="2" t="s">
        <v>784</v>
      </c>
      <c r="D424" s="2" t="s">
        <v>164</v>
      </c>
      <c r="E424" s="2" t="s">
        <v>16</v>
      </c>
      <c r="F424" s="2" t="s">
        <v>785</v>
      </c>
      <c r="G424" s="2">
        <v>917.4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30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v>0</v>
      </c>
      <c r="W424" s="2">
        <v>2</v>
      </c>
      <c r="X424" s="2">
        <v>947.4</v>
      </c>
    </row>
    <row r="425" spans="1:24" x14ac:dyDescent="0.25">
      <c r="G425" s="2" t="s">
        <v>786</v>
      </c>
    </row>
    <row r="426" spans="1:24" x14ac:dyDescent="0.25">
      <c r="A426" s="2">
        <v>210</v>
      </c>
      <c r="B426" s="2">
        <v>9933</v>
      </c>
      <c r="C426" s="2" t="s">
        <v>142</v>
      </c>
      <c r="D426" s="2" t="s">
        <v>787</v>
      </c>
      <c r="E426" s="2" t="s">
        <v>788</v>
      </c>
      <c r="F426" s="2" t="s">
        <v>789</v>
      </c>
      <c r="G426" s="2">
        <v>947.1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W426" s="2">
        <v>0</v>
      </c>
      <c r="X426" s="2">
        <v>947.1</v>
      </c>
    </row>
    <row r="427" spans="1:24" x14ac:dyDescent="0.25">
      <c r="G427" s="2" t="s">
        <v>790</v>
      </c>
    </row>
    <row r="428" spans="1:24" x14ac:dyDescent="0.25">
      <c r="A428" s="2">
        <v>211</v>
      </c>
      <c r="B428" s="2">
        <v>13536</v>
      </c>
      <c r="C428" s="2" t="s">
        <v>791</v>
      </c>
      <c r="D428" s="2" t="s">
        <v>406</v>
      </c>
      <c r="E428" s="2" t="s">
        <v>90</v>
      </c>
      <c r="F428" s="2" t="s">
        <v>792</v>
      </c>
      <c r="G428" s="2">
        <v>947.1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W428" s="2">
        <v>0</v>
      </c>
      <c r="X428" s="2">
        <v>947.1</v>
      </c>
    </row>
    <row r="429" spans="1:24" x14ac:dyDescent="0.25">
      <c r="G429" s="2" t="s">
        <v>793</v>
      </c>
    </row>
    <row r="430" spans="1:24" x14ac:dyDescent="0.25">
      <c r="A430" s="2">
        <v>212</v>
      </c>
      <c r="B430" s="2">
        <v>6790</v>
      </c>
      <c r="C430" s="2" t="s">
        <v>794</v>
      </c>
      <c r="D430" s="2" t="s">
        <v>795</v>
      </c>
      <c r="E430" s="2" t="s">
        <v>16</v>
      </c>
      <c r="F430" s="2" t="s">
        <v>796</v>
      </c>
      <c r="G430" s="2">
        <v>916.3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30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W430" s="2">
        <v>0</v>
      </c>
      <c r="X430" s="2">
        <v>946.3</v>
      </c>
    </row>
    <row r="431" spans="1:24" x14ac:dyDescent="0.25">
      <c r="G431" s="2" t="s">
        <v>797</v>
      </c>
    </row>
    <row r="432" spans="1:24" x14ac:dyDescent="0.25">
      <c r="A432" s="2">
        <v>213</v>
      </c>
      <c r="B432" s="2">
        <v>15421</v>
      </c>
      <c r="C432" s="2" t="s">
        <v>798</v>
      </c>
      <c r="D432" s="2" t="s">
        <v>89</v>
      </c>
      <c r="E432" s="2" t="s">
        <v>194</v>
      </c>
      <c r="F432" s="2" t="s">
        <v>799</v>
      </c>
      <c r="G432" s="2">
        <v>874.5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70</v>
      </c>
      <c r="N432" s="2">
        <v>0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v>0</v>
      </c>
      <c r="W432" s="2">
        <v>0</v>
      </c>
      <c r="X432" s="2">
        <v>944.5</v>
      </c>
    </row>
    <row r="433" spans="1:24" x14ac:dyDescent="0.25">
      <c r="G433" s="2" t="s">
        <v>800</v>
      </c>
    </row>
    <row r="434" spans="1:24" x14ac:dyDescent="0.25">
      <c r="A434" s="2">
        <v>214</v>
      </c>
      <c r="B434" s="2">
        <v>6324</v>
      </c>
      <c r="C434" s="2" t="s">
        <v>801</v>
      </c>
      <c r="D434" s="2" t="s">
        <v>67</v>
      </c>
      <c r="E434" s="2" t="s">
        <v>194</v>
      </c>
      <c r="F434" s="2" t="s">
        <v>802</v>
      </c>
      <c r="G434" s="2">
        <v>914.1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30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W434" s="2">
        <v>0</v>
      </c>
      <c r="X434" s="2">
        <v>944.1</v>
      </c>
    </row>
    <row r="435" spans="1:24" x14ac:dyDescent="0.25">
      <c r="G435" s="2" t="s">
        <v>803</v>
      </c>
    </row>
    <row r="436" spans="1:24" x14ac:dyDescent="0.25">
      <c r="A436" s="2">
        <v>215</v>
      </c>
      <c r="B436" s="2">
        <v>14885</v>
      </c>
      <c r="C436" s="2" t="s">
        <v>804</v>
      </c>
      <c r="D436" s="2" t="s">
        <v>50</v>
      </c>
      <c r="E436" s="2" t="s">
        <v>194</v>
      </c>
      <c r="F436" s="2" t="s">
        <v>805</v>
      </c>
      <c r="G436" s="2">
        <v>943.8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v>0</v>
      </c>
      <c r="W436" s="2">
        <v>0</v>
      </c>
      <c r="X436" s="2">
        <v>943.8</v>
      </c>
    </row>
    <row r="437" spans="1:24" x14ac:dyDescent="0.25">
      <c r="G437" s="2" t="s">
        <v>806</v>
      </c>
    </row>
    <row r="438" spans="1:24" x14ac:dyDescent="0.25">
      <c r="A438" s="2">
        <v>216</v>
      </c>
      <c r="B438" s="2">
        <v>1205</v>
      </c>
      <c r="C438" s="2" t="s">
        <v>807</v>
      </c>
      <c r="D438" s="2" t="s">
        <v>248</v>
      </c>
      <c r="E438" s="2" t="s">
        <v>808</v>
      </c>
      <c r="F438" s="2" t="s">
        <v>809</v>
      </c>
      <c r="G438" s="2">
        <v>843.7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70</v>
      </c>
      <c r="N438" s="2">
        <v>0</v>
      </c>
      <c r="O438" s="2">
        <v>0</v>
      </c>
      <c r="P438" s="2">
        <v>0</v>
      </c>
      <c r="Q438" s="2">
        <v>0</v>
      </c>
      <c r="R438" s="2">
        <v>30</v>
      </c>
      <c r="S438" s="2">
        <v>0</v>
      </c>
      <c r="T438" s="2">
        <v>0</v>
      </c>
      <c r="U438" s="2">
        <v>0</v>
      </c>
      <c r="W438" s="2">
        <v>0</v>
      </c>
      <c r="X438" s="2">
        <v>943.7</v>
      </c>
    </row>
    <row r="439" spans="1:24" x14ac:dyDescent="0.25">
      <c r="G439" s="2" t="s">
        <v>810</v>
      </c>
    </row>
    <row r="440" spans="1:24" x14ac:dyDescent="0.25">
      <c r="A440" s="2">
        <v>217</v>
      </c>
      <c r="B440" s="2">
        <v>19</v>
      </c>
      <c r="C440" s="2" t="s">
        <v>811</v>
      </c>
      <c r="D440" s="2" t="s">
        <v>812</v>
      </c>
      <c r="E440" s="2" t="s">
        <v>39</v>
      </c>
      <c r="F440" s="2" t="s">
        <v>813</v>
      </c>
      <c r="G440" s="2">
        <v>873.4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70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v>0</v>
      </c>
      <c r="W440" s="2">
        <v>0</v>
      </c>
      <c r="X440" s="2">
        <v>943.4</v>
      </c>
    </row>
    <row r="441" spans="1:24" x14ac:dyDescent="0.25">
      <c r="G441" s="2" t="s">
        <v>814</v>
      </c>
    </row>
    <row r="442" spans="1:24" x14ac:dyDescent="0.25">
      <c r="A442" s="2">
        <v>218</v>
      </c>
      <c r="B442" s="2">
        <v>4869</v>
      </c>
      <c r="C442" s="2" t="s">
        <v>816</v>
      </c>
      <c r="D442" s="2" t="s">
        <v>817</v>
      </c>
      <c r="E442" s="2" t="s">
        <v>194</v>
      </c>
      <c r="F442" s="2" t="s">
        <v>818</v>
      </c>
      <c r="G442" s="2">
        <v>873.4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70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W442" s="2">
        <v>0</v>
      </c>
      <c r="X442" s="2">
        <v>943.4</v>
      </c>
    </row>
    <row r="443" spans="1:24" x14ac:dyDescent="0.25">
      <c r="G443" s="2" t="s">
        <v>819</v>
      </c>
    </row>
    <row r="444" spans="1:24" x14ac:dyDescent="0.25">
      <c r="A444" s="2">
        <v>219</v>
      </c>
      <c r="B444" s="2">
        <v>16776</v>
      </c>
      <c r="C444" s="2" t="s">
        <v>820</v>
      </c>
      <c r="D444" s="2" t="s">
        <v>821</v>
      </c>
      <c r="E444" s="2" t="s">
        <v>73</v>
      </c>
      <c r="F444" s="2" t="s">
        <v>822</v>
      </c>
      <c r="G444" s="2">
        <v>913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30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W444" s="2">
        <v>0</v>
      </c>
      <c r="X444" s="2">
        <v>943</v>
      </c>
    </row>
    <row r="445" spans="1:24" x14ac:dyDescent="0.25">
      <c r="G445" s="2" t="s">
        <v>823</v>
      </c>
    </row>
    <row r="446" spans="1:24" x14ac:dyDescent="0.25">
      <c r="A446" s="2">
        <v>220</v>
      </c>
      <c r="B446" s="2">
        <v>9515</v>
      </c>
      <c r="C446" s="2" t="s">
        <v>824</v>
      </c>
      <c r="D446" s="2" t="s">
        <v>127</v>
      </c>
      <c r="E446" s="2" t="s">
        <v>108</v>
      </c>
      <c r="F446" s="2" t="s">
        <v>825</v>
      </c>
      <c r="G446" s="2">
        <v>911.9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30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v>0</v>
      </c>
      <c r="W446" s="2">
        <v>0</v>
      </c>
      <c r="X446" s="2">
        <v>941.9</v>
      </c>
    </row>
    <row r="447" spans="1:24" x14ac:dyDescent="0.25">
      <c r="G447" s="2" t="s">
        <v>826</v>
      </c>
    </row>
    <row r="448" spans="1:24" x14ac:dyDescent="0.25">
      <c r="A448" s="2">
        <v>221</v>
      </c>
      <c r="B448" s="2">
        <v>10200</v>
      </c>
      <c r="C448" s="2" t="s">
        <v>827</v>
      </c>
      <c r="D448" s="2" t="s">
        <v>828</v>
      </c>
      <c r="E448" s="2" t="s">
        <v>829</v>
      </c>
      <c r="F448" s="2" t="s">
        <v>830</v>
      </c>
      <c r="G448" s="2">
        <v>911.9</v>
      </c>
      <c r="H448" s="2">
        <v>0</v>
      </c>
      <c r="I448" s="2">
        <v>0</v>
      </c>
      <c r="J448" s="2">
        <v>0</v>
      </c>
      <c r="K448" s="2">
        <v>0</v>
      </c>
      <c r="L448" s="2">
        <v>0</v>
      </c>
      <c r="M448" s="2">
        <v>30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v>0</v>
      </c>
      <c r="W448" s="2">
        <v>0</v>
      </c>
      <c r="X448" s="2">
        <v>941.9</v>
      </c>
    </row>
    <row r="449" spans="1:24" x14ac:dyDescent="0.25">
      <c r="G449" s="2" t="s">
        <v>831</v>
      </c>
    </row>
    <row r="450" spans="1:24" x14ac:dyDescent="0.25">
      <c r="A450" s="2">
        <v>222</v>
      </c>
      <c r="B450" s="2">
        <v>12160</v>
      </c>
      <c r="C450" s="2" t="s">
        <v>832</v>
      </c>
      <c r="D450" s="2" t="s">
        <v>256</v>
      </c>
      <c r="E450" s="2" t="s">
        <v>723</v>
      </c>
      <c r="F450" s="2" t="s">
        <v>833</v>
      </c>
      <c r="G450" s="2">
        <v>941.6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W450" s="2">
        <v>0</v>
      </c>
      <c r="X450" s="2">
        <v>941.6</v>
      </c>
    </row>
    <row r="451" spans="1:24" x14ac:dyDescent="0.25">
      <c r="G451" s="2" t="s">
        <v>834</v>
      </c>
    </row>
    <row r="452" spans="1:24" x14ac:dyDescent="0.25">
      <c r="A452" s="2">
        <v>223</v>
      </c>
      <c r="B452" s="2">
        <v>15635</v>
      </c>
      <c r="C452" s="2" t="s">
        <v>835</v>
      </c>
      <c r="D452" s="2" t="s">
        <v>38</v>
      </c>
      <c r="E452" s="2" t="s">
        <v>194</v>
      </c>
      <c r="F452" s="2" t="s">
        <v>836</v>
      </c>
      <c r="G452" s="2">
        <v>871.2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70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v>0</v>
      </c>
      <c r="W452" s="2">
        <v>0</v>
      </c>
      <c r="X452" s="2">
        <v>941.2</v>
      </c>
    </row>
    <row r="453" spans="1:24" x14ac:dyDescent="0.25">
      <c r="G453" s="2" t="s">
        <v>837</v>
      </c>
    </row>
    <row r="454" spans="1:24" x14ac:dyDescent="0.25">
      <c r="A454" s="2">
        <v>224</v>
      </c>
      <c r="B454" s="2">
        <v>14064</v>
      </c>
      <c r="C454" s="2" t="s">
        <v>838</v>
      </c>
      <c r="D454" s="2" t="s">
        <v>634</v>
      </c>
      <c r="E454" s="2" t="s">
        <v>51</v>
      </c>
      <c r="F454" s="2" t="s">
        <v>839</v>
      </c>
      <c r="G454" s="2">
        <v>910.8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30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W454" s="2">
        <v>0</v>
      </c>
      <c r="X454" s="2">
        <v>940.8</v>
      </c>
    </row>
    <row r="455" spans="1:24" x14ac:dyDescent="0.25">
      <c r="G455" s="2" t="s">
        <v>840</v>
      </c>
    </row>
    <row r="456" spans="1:24" x14ac:dyDescent="0.25">
      <c r="A456" s="2">
        <v>225</v>
      </c>
      <c r="B456" s="2">
        <v>9559</v>
      </c>
      <c r="C456" s="2" t="s">
        <v>841</v>
      </c>
      <c r="D456" s="2" t="s">
        <v>842</v>
      </c>
      <c r="E456" s="2" t="s">
        <v>84</v>
      </c>
      <c r="F456" s="2" t="s">
        <v>843</v>
      </c>
      <c r="G456" s="2">
        <v>740.3</v>
      </c>
      <c r="H456" s="2">
        <v>0</v>
      </c>
      <c r="I456" s="2">
        <v>0</v>
      </c>
      <c r="J456" s="2">
        <v>0</v>
      </c>
      <c r="K456" s="2">
        <v>200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v>0</v>
      </c>
      <c r="W456" s="2">
        <v>0</v>
      </c>
      <c r="X456" s="2">
        <v>940.3</v>
      </c>
    </row>
    <row r="457" spans="1:24" x14ac:dyDescent="0.25">
      <c r="G457" s="2" t="s">
        <v>844</v>
      </c>
    </row>
    <row r="458" spans="1:24" x14ac:dyDescent="0.25">
      <c r="A458" s="2">
        <v>226</v>
      </c>
      <c r="B458" s="2">
        <v>6273</v>
      </c>
      <c r="C458" s="2" t="s">
        <v>845</v>
      </c>
      <c r="D458" s="2" t="s">
        <v>846</v>
      </c>
      <c r="E458" s="2" t="s">
        <v>847</v>
      </c>
      <c r="F458" s="2" t="s">
        <v>848</v>
      </c>
      <c r="G458" s="2">
        <v>887.7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50</v>
      </c>
      <c r="N458" s="2">
        <v>0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v>0</v>
      </c>
      <c r="W458" s="2">
        <v>0</v>
      </c>
      <c r="X458" s="2">
        <v>937.7</v>
      </c>
    </row>
    <row r="459" spans="1:24" x14ac:dyDescent="0.25">
      <c r="G459" s="2" t="s">
        <v>849</v>
      </c>
    </row>
    <row r="460" spans="1:24" x14ac:dyDescent="0.25">
      <c r="A460" s="2">
        <v>227</v>
      </c>
      <c r="B460" s="2">
        <v>12704</v>
      </c>
      <c r="C460" s="2" t="s">
        <v>850</v>
      </c>
      <c r="D460" s="2" t="s">
        <v>98</v>
      </c>
      <c r="E460" s="2" t="s">
        <v>302</v>
      </c>
      <c r="F460" s="2" t="s">
        <v>851</v>
      </c>
      <c r="G460" s="2">
        <v>837.1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50</v>
      </c>
      <c r="N460" s="2">
        <v>50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0</v>
      </c>
      <c r="W460" s="2">
        <v>0</v>
      </c>
      <c r="X460" s="2">
        <v>937.1</v>
      </c>
    </row>
    <row r="461" spans="1:24" x14ac:dyDescent="0.25">
      <c r="G461" s="2" t="s">
        <v>852</v>
      </c>
    </row>
    <row r="462" spans="1:24" x14ac:dyDescent="0.25">
      <c r="A462" s="2">
        <v>228</v>
      </c>
      <c r="B462" s="2">
        <v>292</v>
      </c>
      <c r="C462" s="2" t="s">
        <v>853</v>
      </c>
      <c r="D462" s="2" t="s">
        <v>854</v>
      </c>
      <c r="E462" s="2" t="s">
        <v>103</v>
      </c>
      <c r="F462" s="2" t="s">
        <v>855</v>
      </c>
      <c r="G462" s="2">
        <v>905.3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30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0</v>
      </c>
      <c r="W462" s="2">
        <v>0</v>
      </c>
      <c r="X462" s="2">
        <v>935.3</v>
      </c>
    </row>
    <row r="463" spans="1:24" x14ac:dyDescent="0.25">
      <c r="G463" s="2" t="s">
        <v>856</v>
      </c>
    </row>
    <row r="464" spans="1:24" x14ac:dyDescent="0.25">
      <c r="A464" s="2">
        <v>229</v>
      </c>
      <c r="B464" s="2">
        <v>8284</v>
      </c>
      <c r="C464" s="2" t="s">
        <v>857</v>
      </c>
      <c r="D464" s="2" t="s">
        <v>56</v>
      </c>
      <c r="E464" s="2" t="s">
        <v>39</v>
      </c>
      <c r="F464" s="2" t="s">
        <v>858</v>
      </c>
      <c r="G464" s="2">
        <v>883.3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50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W464" s="2">
        <v>0</v>
      </c>
      <c r="X464" s="2">
        <v>933.3</v>
      </c>
    </row>
    <row r="465" spans="1:24" x14ac:dyDescent="0.25">
      <c r="G465" s="2" t="s">
        <v>859</v>
      </c>
    </row>
    <row r="466" spans="1:24" x14ac:dyDescent="0.25">
      <c r="A466" s="2">
        <v>230</v>
      </c>
      <c r="B466" s="2">
        <v>1460</v>
      </c>
      <c r="C466" s="2" t="s">
        <v>860</v>
      </c>
      <c r="D466" s="2" t="s">
        <v>50</v>
      </c>
      <c r="E466" s="2" t="s">
        <v>194</v>
      </c>
      <c r="F466" s="2" t="s">
        <v>861</v>
      </c>
      <c r="G466" s="2">
        <v>903.1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30</v>
      </c>
      <c r="N466" s="2">
        <v>0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v>0</v>
      </c>
      <c r="W466" s="2">
        <v>0</v>
      </c>
      <c r="X466" s="2">
        <v>933.1</v>
      </c>
    </row>
    <row r="467" spans="1:24" x14ac:dyDescent="0.25">
      <c r="G467" s="2" t="s">
        <v>862</v>
      </c>
    </row>
    <row r="468" spans="1:24" x14ac:dyDescent="0.25">
      <c r="A468" s="2">
        <v>231</v>
      </c>
      <c r="B468" s="2">
        <v>13780</v>
      </c>
      <c r="C468" s="2" t="s">
        <v>863</v>
      </c>
      <c r="D468" s="2" t="s">
        <v>821</v>
      </c>
      <c r="E468" s="2" t="s">
        <v>122</v>
      </c>
      <c r="F468" s="2" t="s">
        <v>864</v>
      </c>
      <c r="G468" s="2">
        <v>861.3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70</v>
      </c>
      <c r="N468" s="2">
        <v>0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v>0</v>
      </c>
      <c r="W468" s="2">
        <v>0</v>
      </c>
      <c r="X468" s="2">
        <v>931.3</v>
      </c>
    </row>
    <row r="469" spans="1:24" x14ac:dyDescent="0.25">
      <c r="G469" s="2" t="s">
        <v>865</v>
      </c>
    </row>
    <row r="470" spans="1:24" x14ac:dyDescent="0.25">
      <c r="A470" s="2">
        <v>232</v>
      </c>
      <c r="B470" s="2">
        <v>7841</v>
      </c>
      <c r="C470" s="2" t="s">
        <v>867</v>
      </c>
      <c r="D470" s="2" t="s">
        <v>94</v>
      </c>
      <c r="E470" s="2" t="s">
        <v>138</v>
      </c>
      <c r="F470" s="2" t="s">
        <v>868</v>
      </c>
      <c r="G470" s="2">
        <v>930.6</v>
      </c>
      <c r="H470" s="2">
        <v>0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v>0</v>
      </c>
      <c r="W470" s="2">
        <v>1</v>
      </c>
      <c r="X470" s="2">
        <v>930.6</v>
      </c>
    </row>
    <row r="471" spans="1:24" x14ac:dyDescent="0.25">
      <c r="G471" s="2" t="s">
        <v>869</v>
      </c>
    </row>
    <row r="472" spans="1:24" x14ac:dyDescent="0.25">
      <c r="A472" s="2">
        <v>233</v>
      </c>
      <c r="B472" s="2">
        <v>8232</v>
      </c>
      <c r="C472" s="2" t="s">
        <v>870</v>
      </c>
      <c r="D472" s="2" t="s">
        <v>871</v>
      </c>
      <c r="E472" s="2" t="s">
        <v>193</v>
      </c>
      <c r="F472" s="2" t="s">
        <v>872</v>
      </c>
      <c r="G472" s="2">
        <v>929.5</v>
      </c>
      <c r="H472" s="2">
        <v>0</v>
      </c>
      <c r="I472" s="2">
        <v>0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v>0</v>
      </c>
      <c r="W472" s="2">
        <v>0</v>
      </c>
      <c r="X472" s="2">
        <v>929.5</v>
      </c>
    </row>
    <row r="473" spans="1:24" x14ac:dyDescent="0.25">
      <c r="G473" s="2" t="s">
        <v>873</v>
      </c>
    </row>
    <row r="474" spans="1:24" x14ac:dyDescent="0.25">
      <c r="A474" s="2">
        <v>234</v>
      </c>
      <c r="B474" s="2">
        <v>12223</v>
      </c>
      <c r="C474" s="2" t="s">
        <v>874</v>
      </c>
      <c r="D474" s="2" t="s">
        <v>256</v>
      </c>
      <c r="E474" s="2" t="s">
        <v>199</v>
      </c>
      <c r="F474" s="2" t="s">
        <v>875</v>
      </c>
      <c r="G474" s="2">
        <v>898.7</v>
      </c>
      <c r="H474" s="2">
        <v>0</v>
      </c>
      <c r="I474" s="2">
        <v>0</v>
      </c>
      <c r="J474" s="2">
        <v>0</v>
      </c>
      <c r="K474" s="2">
        <v>0</v>
      </c>
      <c r="L474" s="2">
        <v>0</v>
      </c>
      <c r="M474" s="2">
        <v>30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v>0</v>
      </c>
      <c r="W474" s="2">
        <v>0</v>
      </c>
      <c r="X474" s="2">
        <v>928.7</v>
      </c>
    </row>
    <row r="475" spans="1:24" x14ac:dyDescent="0.25">
      <c r="G475" s="2" t="s">
        <v>876</v>
      </c>
    </row>
    <row r="476" spans="1:24" x14ac:dyDescent="0.25">
      <c r="A476" s="2">
        <v>235</v>
      </c>
      <c r="B476" s="2">
        <v>9181</v>
      </c>
      <c r="C476" s="2" t="s">
        <v>877</v>
      </c>
      <c r="D476" s="2" t="s">
        <v>878</v>
      </c>
      <c r="E476" s="2" t="s">
        <v>193</v>
      </c>
      <c r="F476" s="2" t="s">
        <v>879</v>
      </c>
      <c r="G476" s="2">
        <v>898.7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30</v>
      </c>
      <c r="N476" s="2">
        <v>0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v>0</v>
      </c>
      <c r="W476" s="2">
        <v>0</v>
      </c>
      <c r="X476" s="2">
        <v>928.7</v>
      </c>
    </row>
    <row r="477" spans="1:24" x14ac:dyDescent="0.25">
      <c r="G477" s="2" t="s">
        <v>880</v>
      </c>
    </row>
    <row r="478" spans="1:24" x14ac:dyDescent="0.25">
      <c r="A478" s="2">
        <v>236</v>
      </c>
      <c r="B478" s="2">
        <v>7305</v>
      </c>
      <c r="C478" s="2" t="s">
        <v>881</v>
      </c>
      <c r="D478" s="2" t="s">
        <v>73</v>
      </c>
      <c r="E478" s="2" t="s">
        <v>882</v>
      </c>
      <c r="F478" s="2" t="s">
        <v>883</v>
      </c>
      <c r="G478" s="2">
        <v>858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70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0</v>
      </c>
      <c r="W478" s="2">
        <v>0</v>
      </c>
      <c r="X478" s="2">
        <v>928</v>
      </c>
    </row>
    <row r="479" spans="1:24" x14ac:dyDescent="0.25">
      <c r="G479" s="2" t="s">
        <v>884</v>
      </c>
    </row>
    <row r="480" spans="1:24" x14ac:dyDescent="0.25">
      <c r="A480" s="2">
        <v>237</v>
      </c>
      <c r="B480" s="2">
        <v>14012</v>
      </c>
      <c r="C480" s="2" t="s">
        <v>885</v>
      </c>
      <c r="D480" s="2" t="s">
        <v>178</v>
      </c>
      <c r="E480" s="2" t="s">
        <v>354</v>
      </c>
      <c r="F480" s="2" t="s">
        <v>886</v>
      </c>
      <c r="G480" s="2">
        <v>858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70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W480" s="2">
        <v>0</v>
      </c>
      <c r="X480" s="2">
        <v>928</v>
      </c>
    </row>
    <row r="481" spans="1:24" x14ac:dyDescent="0.25">
      <c r="G481" s="2" t="s">
        <v>887</v>
      </c>
    </row>
    <row r="482" spans="1:24" x14ac:dyDescent="0.25">
      <c r="A482" s="2">
        <v>238</v>
      </c>
      <c r="B482" s="2">
        <v>12864</v>
      </c>
      <c r="C482" s="2" t="s">
        <v>888</v>
      </c>
      <c r="D482" s="2" t="s">
        <v>889</v>
      </c>
      <c r="E482" s="2" t="s">
        <v>890</v>
      </c>
      <c r="F482" s="2" t="s">
        <v>891</v>
      </c>
      <c r="G482" s="2">
        <v>897.6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30</v>
      </c>
      <c r="N482" s="2">
        <v>0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v>0</v>
      </c>
      <c r="W482" s="2">
        <v>0</v>
      </c>
      <c r="X482" s="2">
        <v>927.6</v>
      </c>
    </row>
    <row r="483" spans="1:24" x14ac:dyDescent="0.25">
      <c r="G483" s="2" t="s">
        <v>892</v>
      </c>
    </row>
    <row r="484" spans="1:24" x14ac:dyDescent="0.25">
      <c r="A484" s="2">
        <v>239</v>
      </c>
      <c r="B484" s="2">
        <v>14309</v>
      </c>
      <c r="C484" s="2" t="s">
        <v>893</v>
      </c>
      <c r="D484" s="2" t="s">
        <v>894</v>
      </c>
      <c r="E484" s="2" t="s">
        <v>103</v>
      </c>
      <c r="F484" s="2" t="s">
        <v>895</v>
      </c>
      <c r="G484" s="2">
        <v>866.8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30</v>
      </c>
      <c r="N484" s="2">
        <v>0</v>
      </c>
      <c r="O484" s="2">
        <v>30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v>0</v>
      </c>
      <c r="W484" s="2">
        <v>0</v>
      </c>
      <c r="X484" s="2">
        <v>926.8</v>
      </c>
    </row>
    <row r="485" spans="1:24" x14ac:dyDescent="0.25">
      <c r="G485" s="2" t="s">
        <v>896</v>
      </c>
    </row>
    <row r="486" spans="1:24" x14ac:dyDescent="0.25">
      <c r="A486" s="2">
        <v>240</v>
      </c>
      <c r="B486" s="2">
        <v>9184</v>
      </c>
      <c r="C486" s="2" t="s">
        <v>897</v>
      </c>
      <c r="D486" s="2" t="s">
        <v>415</v>
      </c>
      <c r="E486" s="2" t="s">
        <v>898</v>
      </c>
      <c r="F486" s="2" t="s">
        <v>899</v>
      </c>
      <c r="G486" s="2">
        <v>855.8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70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0</v>
      </c>
      <c r="W486" s="2">
        <v>0</v>
      </c>
      <c r="X486" s="2">
        <v>925.8</v>
      </c>
    </row>
    <row r="487" spans="1:24" x14ac:dyDescent="0.25">
      <c r="G487" s="2" t="s">
        <v>900</v>
      </c>
    </row>
    <row r="488" spans="1:24" x14ac:dyDescent="0.25">
      <c r="A488" s="2">
        <v>241</v>
      </c>
      <c r="B488" s="2">
        <v>10755</v>
      </c>
      <c r="C488" s="2" t="s">
        <v>901</v>
      </c>
      <c r="D488" s="2" t="s">
        <v>902</v>
      </c>
      <c r="E488" s="2" t="s">
        <v>597</v>
      </c>
      <c r="F488" s="2" t="s">
        <v>903</v>
      </c>
      <c r="G488" s="2">
        <v>865.7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30</v>
      </c>
      <c r="N488" s="2">
        <v>30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v>0</v>
      </c>
      <c r="W488" s="2">
        <v>0</v>
      </c>
      <c r="X488" s="2">
        <v>925.7</v>
      </c>
    </row>
    <row r="489" spans="1:24" x14ac:dyDescent="0.25">
      <c r="G489" s="2" t="s">
        <v>904</v>
      </c>
    </row>
    <row r="490" spans="1:24" x14ac:dyDescent="0.25">
      <c r="A490" s="2">
        <v>242</v>
      </c>
      <c r="B490" s="2">
        <v>13051</v>
      </c>
      <c r="C490" s="2" t="s">
        <v>906</v>
      </c>
      <c r="D490" s="2" t="s">
        <v>178</v>
      </c>
      <c r="E490" s="2" t="s">
        <v>540</v>
      </c>
      <c r="F490" s="2" t="s">
        <v>907</v>
      </c>
      <c r="G490" s="2">
        <v>895.4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30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W490" s="2">
        <v>0</v>
      </c>
      <c r="X490" s="2">
        <v>925.4</v>
      </c>
    </row>
    <row r="491" spans="1:24" x14ac:dyDescent="0.25">
      <c r="G491" s="2" t="s">
        <v>908</v>
      </c>
    </row>
    <row r="492" spans="1:24" x14ac:dyDescent="0.25">
      <c r="A492" s="2">
        <v>243</v>
      </c>
      <c r="B492" s="2">
        <v>464</v>
      </c>
      <c r="C492" s="2" t="s">
        <v>910</v>
      </c>
      <c r="D492" s="2" t="s">
        <v>911</v>
      </c>
      <c r="E492" s="2" t="s">
        <v>90</v>
      </c>
      <c r="F492" s="2" t="s">
        <v>912</v>
      </c>
      <c r="G492" s="2">
        <v>894.3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30</v>
      </c>
      <c r="N492" s="2">
        <v>0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v>0</v>
      </c>
      <c r="W492" s="2">
        <v>1</v>
      </c>
      <c r="X492" s="2">
        <v>924.3</v>
      </c>
    </row>
    <row r="493" spans="1:24" x14ac:dyDescent="0.25">
      <c r="G493" s="2" t="s">
        <v>913</v>
      </c>
    </row>
    <row r="494" spans="1:24" x14ac:dyDescent="0.25">
      <c r="A494" s="2">
        <v>244</v>
      </c>
      <c r="B494" s="2">
        <v>10564</v>
      </c>
      <c r="C494" s="2" t="s">
        <v>885</v>
      </c>
      <c r="D494" s="2" t="s">
        <v>415</v>
      </c>
      <c r="E494" s="2" t="s">
        <v>39</v>
      </c>
      <c r="F494" s="2" t="s">
        <v>914</v>
      </c>
      <c r="G494" s="2">
        <v>894.3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30</v>
      </c>
      <c r="N494" s="2">
        <v>0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v>0</v>
      </c>
      <c r="W494" s="2">
        <v>0</v>
      </c>
      <c r="X494" s="2">
        <v>924.3</v>
      </c>
    </row>
    <row r="495" spans="1:24" x14ac:dyDescent="0.25">
      <c r="G495" s="2" t="s">
        <v>915</v>
      </c>
    </row>
    <row r="496" spans="1:24" x14ac:dyDescent="0.25">
      <c r="A496" s="2">
        <v>245</v>
      </c>
      <c r="B496" s="2">
        <v>13612</v>
      </c>
      <c r="C496" s="2" t="s">
        <v>916</v>
      </c>
      <c r="D496" s="2" t="s">
        <v>917</v>
      </c>
      <c r="E496" s="2" t="s">
        <v>204</v>
      </c>
      <c r="F496" s="2" t="s">
        <v>918</v>
      </c>
      <c r="G496" s="2">
        <v>853.6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70</v>
      </c>
      <c r="N496" s="2">
        <v>0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v>0</v>
      </c>
      <c r="W496" s="2">
        <v>0</v>
      </c>
      <c r="X496" s="2">
        <v>923.6</v>
      </c>
    </row>
    <row r="497" spans="1:24" x14ac:dyDescent="0.25">
      <c r="G497" s="2" t="s">
        <v>919</v>
      </c>
    </row>
    <row r="498" spans="1:24" x14ac:dyDescent="0.25">
      <c r="A498" s="2">
        <v>246</v>
      </c>
      <c r="B498" s="2">
        <v>14222</v>
      </c>
      <c r="C498" s="2" t="s">
        <v>920</v>
      </c>
      <c r="D498" s="2" t="s">
        <v>921</v>
      </c>
      <c r="E498" s="2" t="s">
        <v>51</v>
      </c>
      <c r="F498" s="2" t="s">
        <v>922</v>
      </c>
      <c r="G498" s="2">
        <v>893.2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30</v>
      </c>
      <c r="N498" s="2">
        <v>0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v>0</v>
      </c>
      <c r="W498" s="2">
        <v>0</v>
      </c>
      <c r="X498" s="2">
        <v>923.2</v>
      </c>
    </row>
    <row r="499" spans="1:24" x14ac:dyDescent="0.25">
      <c r="G499" s="2" t="s">
        <v>923</v>
      </c>
    </row>
    <row r="500" spans="1:24" x14ac:dyDescent="0.25">
      <c r="A500" s="2">
        <v>247</v>
      </c>
      <c r="B500" s="2">
        <v>14927</v>
      </c>
      <c r="C500" s="2" t="s">
        <v>924</v>
      </c>
      <c r="D500" s="2" t="s">
        <v>112</v>
      </c>
      <c r="E500" s="2" t="s">
        <v>194</v>
      </c>
      <c r="F500" s="2" t="s">
        <v>925</v>
      </c>
      <c r="G500" s="2">
        <v>893.2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30</v>
      </c>
      <c r="N500" s="2">
        <v>0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W500" s="2">
        <v>0</v>
      </c>
      <c r="X500" s="2">
        <v>923.2</v>
      </c>
    </row>
    <row r="501" spans="1:24" x14ac:dyDescent="0.25">
      <c r="G501" s="2" t="s">
        <v>926</v>
      </c>
    </row>
    <row r="502" spans="1:24" x14ac:dyDescent="0.25">
      <c r="A502" s="2">
        <v>248</v>
      </c>
      <c r="B502" s="2">
        <v>9519</v>
      </c>
      <c r="C502" s="2" t="s">
        <v>927</v>
      </c>
      <c r="D502" s="2" t="s">
        <v>928</v>
      </c>
      <c r="E502" s="2" t="s">
        <v>929</v>
      </c>
      <c r="F502" s="2" t="s">
        <v>930</v>
      </c>
      <c r="G502" s="2">
        <v>852.5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70</v>
      </c>
      <c r="N502" s="2">
        <v>0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W502" s="2">
        <v>0</v>
      </c>
      <c r="X502" s="2">
        <v>922.5</v>
      </c>
    </row>
    <row r="503" spans="1:24" x14ac:dyDescent="0.25">
      <c r="G503" s="2" t="s">
        <v>931</v>
      </c>
    </row>
    <row r="504" spans="1:24" x14ac:dyDescent="0.25">
      <c r="A504" s="2">
        <v>249</v>
      </c>
      <c r="B504" s="2">
        <v>10480</v>
      </c>
      <c r="C504" s="2" t="s">
        <v>932</v>
      </c>
      <c r="D504" s="2" t="s">
        <v>933</v>
      </c>
      <c r="E504" s="2" t="s">
        <v>84</v>
      </c>
      <c r="F504" s="2" t="s">
        <v>934</v>
      </c>
      <c r="G504" s="2">
        <v>892.1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30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v>0</v>
      </c>
      <c r="W504" s="2">
        <v>0</v>
      </c>
      <c r="X504" s="2">
        <v>922.1</v>
      </c>
    </row>
    <row r="505" spans="1:24" x14ac:dyDescent="0.25">
      <c r="G505" s="2" t="s">
        <v>935</v>
      </c>
    </row>
    <row r="506" spans="1:24" x14ac:dyDescent="0.25">
      <c r="A506" s="2">
        <v>250</v>
      </c>
      <c r="B506" s="2">
        <v>8295</v>
      </c>
      <c r="C506" s="2" t="s">
        <v>936</v>
      </c>
      <c r="D506" s="2" t="s">
        <v>51</v>
      </c>
      <c r="E506" s="2" t="s">
        <v>16</v>
      </c>
      <c r="F506" s="2" t="s">
        <v>937</v>
      </c>
      <c r="G506" s="2">
        <v>771.1</v>
      </c>
      <c r="H506" s="2">
        <v>150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W506" s="2">
        <v>0</v>
      </c>
      <c r="X506" s="2">
        <v>921.1</v>
      </c>
    </row>
    <row r="507" spans="1:24" x14ac:dyDescent="0.25">
      <c r="G507" s="2" t="s">
        <v>938</v>
      </c>
    </row>
    <row r="508" spans="1:24" x14ac:dyDescent="0.25">
      <c r="A508" s="2">
        <v>251</v>
      </c>
      <c r="B508" s="2">
        <v>6233</v>
      </c>
      <c r="C508" s="2" t="s">
        <v>939</v>
      </c>
      <c r="D508" s="2" t="s">
        <v>940</v>
      </c>
      <c r="E508" s="2" t="s">
        <v>385</v>
      </c>
      <c r="F508" s="2" t="s">
        <v>941</v>
      </c>
      <c r="G508" s="2">
        <v>891</v>
      </c>
      <c r="H508" s="2">
        <v>0</v>
      </c>
      <c r="I508" s="2">
        <v>0</v>
      </c>
      <c r="J508" s="2">
        <v>0</v>
      </c>
      <c r="K508" s="2">
        <v>0</v>
      </c>
      <c r="L508" s="2">
        <v>0</v>
      </c>
      <c r="M508" s="2">
        <v>30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0</v>
      </c>
      <c r="W508" s="2">
        <v>0</v>
      </c>
      <c r="X508" s="2">
        <v>921</v>
      </c>
    </row>
    <row r="509" spans="1:24" x14ac:dyDescent="0.25">
      <c r="G509" s="2" t="s">
        <v>942</v>
      </c>
    </row>
    <row r="510" spans="1:24" x14ac:dyDescent="0.25">
      <c r="A510" s="2">
        <v>252</v>
      </c>
      <c r="B510" s="2">
        <v>16028</v>
      </c>
      <c r="C510" s="2" t="s">
        <v>943</v>
      </c>
      <c r="D510" s="2" t="s">
        <v>16</v>
      </c>
      <c r="E510" s="2" t="s">
        <v>90</v>
      </c>
      <c r="F510" s="2" t="s">
        <v>944</v>
      </c>
      <c r="G510" s="2">
        <v>920.7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v>0</v>
      </c>
      <c r="W510" s="2">
        <v>0</v>
      </c>
      <c r="X510" s="2">
        <v>920.7</v>
      </c>
    </row>
    <row r="511" spans="1:24" x14ac:dyDescent="0.25">
      <c r="G511" s="2" t="s">
        <v>945</v>
      </c>
    </row>
    <row r="512" spans="1:24" x14ac:dyDescent="0.25">
      <c r="A512" s="2">
        <v>253</v>
      </c>
      <c r="B512" s="2">
        <v>17705</v>
      </c>
      <c r="C512" s="2" t="s">
        <v>946</v>
      </c>
      <c r="D512" s="2" t="s">
        <v>89</v>
      </c>
      <c r="E512" s="2" t="s">
        <v>39</v>
      </c>
      <c r="F512" s="2" t="s">
        <v>947</v>
      </c>
      <c r="G512" s="2">
        <v>889.9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30</v>
      </c>
      <c r="N512" s="2">
        <v>0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v>0</v>
      </c>
      <c r="W512" s="2">
        <v>0</v>
      </c>
      <c r="X512" s="2">
        <v>919.9</v>
      </c>
    </row>
    <row r="513" spans="1:24" x14ac:dyDescent="0.25">
      <c r="G513" s="2" t="s">
        <v>948</v>
      </c>
    </row>
    <row r="514" spans="1:24" x14ac:dyDescent="0.25">
      <c r="A514" s="2">
        <v>254</v>
      </c>
      <c r="B514" s="2">
        <v>3858</v>
      </c>
      <c r="C514" s="2" t="s">
        <v>949</v>
      </c>
      <c r="D514" s="2" t="s">
        <v>164</v>
      </c>
      <c r="E514" s="2" t="s">
        <v>199</v>
      </c>
      <c r="F514" s="2" t="s">
        <v>950</v>
      </c>
      <c r="G514" s="2">
        <v>889.9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30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v>0</v>
      </c>
      <c r="W514" s="2">
        <v>0</v>
      </c>
      <c r="X514" s="2">
        <v>919.9</v>
      </c>
    </row>
    <row r="515" spans="1:24" x14ac:dyDescent="0.25">
      <c r="G515" s="2" t="s">
        <v>951</v>
      </c>
    </row>
    <row r="516" spans="1:24" x14ac:dyDescent="0.25">
      <c r="A516" s="2">
        <v>255</v>
      </c>
      <c r="B516" s="2">
        <v>10787</v>
      </c>
      <c r="C516" s="2" t="s">
        <v>952</v>
      </c>
      <c r="D516" s="2" t="s">
        <v>953</v>
      </c>
      <c r="E516" s="2" t="s">
        <v>16</v>
      </c>
      <c r="F516" s="2" t="s">
        <v>954</v>
      </c>
      <c r="G516" s="2">
        <v>889.9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30</v>
      </c>
      <c r="N516" s="2">
        <v>0</v>
      </c>
      <c r="O516" s="2">
        <v>0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v>0</v>
      </c>
      <c r="W516" s="2">
        <v>2</v>
      </c>
      <c r="X516" s="2">
        <v>919.9</v>
      </c>
    </row>
    <row r="517" spans="1:24" x14ac:dyDescent="0.25">
      <c r="G517" s="2" t="s">
        <v>955</v>
      </c>
    </row>
    <row r="518" spans="1:24" x14ac:dyDescent="0.25">
      <c r="A518" s="2">
        <v>256</v>
      </c>
      <c r="B518" s="2">
        <v>9113</v>
      </c>
      <c r="C518" s="2" t="s">
        <v>956</v>
      </c>
      <c r="D518" s="2" t="s">
        <v>902</v>
      </c>
      <c r="E518" s="2" t="s">
        <v>16</v>
      </c>
      <c r="F518" s="2" t="s">
        <v>957</v>
      </c>
      <c r="G518" s="2">
        <v>919.6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v>0</v>
      </c>
      <c r="W518" s="2">
        <v>0</v>
      </c>
      <c r="X518" s="2">
        <v>919.6</v>
      </c>
    </row>
    <row r="519" spans="1:24" x14ac:dyDescent="0.25">
      <c r="G519" s="2" t="s">
        <v>958</v>
      </c>
    </row>
    <row r="520" spans="1:24" x14ac:dyDescent="0.25">
      <c r="A520" s="2">
        <v>257</v>
      </c>
      <c r="B520" s="2">
        <v>11798</v>
      </c>
      <c r="C520" s="2" t="s">
        <v>960</v>
      </c>
      <c r="D520" s="2" t="s">
        <v>126</v>
      </c>
      <c r="E520" s="2" t="s">
        <v>961</v>
      </c>
      <c r="F520" s="2" t="s">
        <v>962</v>
      </c>
      <c r="G520" s="2">
        <v>849.2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70</v>
      </c>
      <c r="N520" s="2">
        <v>0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v>0</v>
      </c>
      <c r="W520" s="2">
        <v>1</v>
      </c>
      <c r="X520" s="2">
        <v>919.2</v>
      </c>
    </row>
    <row r="521" spans="1:24" x14ac:dyDescent="0.25">
      <c r="G521" s="2" t="s">
        <v>963</v>
      </c>
    </row>
    <row r="522" spans="1:24" x14ac:dyDescent="0.25">
      <c r="A522" s="2">
        <v>258</v>
      </c>
      <c r="B522" s="2">
        <v>12311</v>
      </c>
      <c r="C522" s="2" t="s">
        <v>964</v>
      </c>
      <c r="D522" s="2" t="s">
        <v>551</v>
      </c>
      <c r="E522" s="2" t="s">
        <v>965</v>
      </c>
      <c r="F522" s="2" t="s">
        <v>966</v>
      </c>
      <c r="G522" s="2">
        <v>887.7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30</v>
      </c>
      <c r="N522" s="2">
        <v>0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v>0</v>
      </c>
      <c r="W522" s="2">
        <v>0</v>
      </c>
      <c r="X522" s="2">
        <v>917.7</v>
      </c>
    </row>
    <row r="523" spans="1:24" x14ac:dyDescent="0.25">
      <c r="G523" s="2" t="s">
        <v>967</v>
      </c>
    </row>
    <row r="524" spans="1:24" x14ac:dyDescent="0.25">
      <c r="A524" s="2">
        <v>259</v>
      </c>
      <c r="B524" s="2">
        <v>12727</v>
      </c>
      <c r="C524" s="2" t="s">
        <v>968</v>
      </c>
      <c r="D524" s="2" t="s">
        <v>78</v>
      </c>
      <c r="E524" s="2" t="s">
        <v>16</v>
      </c>
      <c r="F524" s="2" t="s">
        <v>969</v>
      </c>
      <c r="G524" s="2">
        <v>917.4</v>
      </c>
      <c r="H524" s="2">
        <v>0</v>
      </c>
      <c r="I524" s="2">
        <v>0</v>
      </c>
      <c r="J524" s="2">
        <v>0</v>
      </c>
      <c r="K524" s="2">
        <v>0</v>
      </c>
      <c r="L524" s="2">
        <v>0</v>
      </c>
      <c r="M524" s="2">
        <v>0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v>0</v>
      </c>
      <c r="W524" s="2">
        <v>0</v>
      </c>
      <c r="X524" s="2">
        <v>917.4</v>
      </c>
    </row>
    <row r="525" spans="1:24" x14ac:dyDescent="0.25">
      <c r="G525" s="2" t="s">
        <v>970</v>
      </c>
    </row>
    <row r="526" spans="1:24" x14ac:dyDescent="0.25">
      <c r="A526" s="2">
        <v>260</v>
      </c>
      <c r="B526" s="2">
        <v>4874</v>
      </c>
      <c r="C526" s="2" t="s">
        <v>971</v>
      </c>
      <c r="D526" s="2" t="s">
        <v>972</v>
      </c>
      <c r="E526" s="2" t="s">
        <v>108</v>
      </c>
      <c r="F526" s="2" t="s">
        <v>973</v>
      </c>
      <c r="G526" s="2">
        <v>817.3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70</v>
      </c>
      <c r="N526" s="2">
        <v>0</v>
      </c>
      <c r="O526" s="2">
        <v>30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W526" s="2">
        <v>0</v>
      </c>
      <c r="X526" s="2">
        <v>917.3</v>
      </c>
    </row>
    <row r="527" spans="1:24" x14ac:dyDescent="0.25">
      <c r="G527" s="2" t="s">
        <v>974</v>
      </c>
    </row>
    <row r="528" spans="1:24" x14ac:dyDescent="0.25">
      <c r="A528" s="2">
        <v>261</v>
      </c>
      <c r="B528" s="2">
        <v>9759</v>
      </c>
      <c r="C528" s="2" t="s">
        <v>975</v>
      </c>
      <c r="D528" s="2" t="s">
        <v>264</v>
      </c>
      <c r="E528" s="2" t="s">
        <v>51</v>
      </c>
      <c r="F528" s="2" t="s">
        <v>976</v>
      </c>
      <c r="G528" s="2">
        <v>886.6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30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v>0</v>
      </c>
      <c r="W528" s="2">
        <v>0</v>
      </c>
      <c r="X528" s="2">
        <v>916.6</v>
      </c>
    </row>
    <row r="529" spans="1:24" x14ac:dyDescent="0.25">
      <c r="G529" s="2" t="s">
        <v>977</v>
      </c>
    </row>
    <row r="530" spans="1:24" x14ac:dyDescent="0.25">
      <c r="A530" s="2">
        <v>262</v>
      </c>
      <c r="B530" s="2">
        <v>6857</v>
      </c>
      <c r="C530" s="2" t="s">
        <v>978</v>
      </c>
      <c r="D530" s="2" t="s">
        <v>39</v>
      </c>
      <c r="E530" s="2" t="s">
        <v>73</v>
      </c>
      <c r="F530" s="2" t="s">
        <v>979</v>
      </c>
      <c r="G530" s="2">
        <v>916.3</v>
      </c>
      <c r="H530" s="2">
        <v>0</v>
      </c>
      <c r="I530" s="2">
        <v>0</v>
      </c>
      <c r="J530" s="2">
        <v>0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W530" s="2">
        <v>0</v>
      </c>
      <c r="X530" s="2">
        <v>916.3</v>
      </c>
    </row>
    <row r="531" spans="1:24" x14ac:dyDescent="0.25">
      <c r="G531" s="2" t="s">
        <v>980</v>
      </c>
    </row>
    <row r="532" spans="1:24" x14ac:dyDescent="0.25">
      <c r="A532" s="2">
        <v>263</v>
      </c>
      <c r="B532" s="2">
        <v>9318</v>
      </c>
      <c r="C532" s="2" t="s">
        <v>981</v>
      </c>
      <c r="D532" s="2" t="s">
        <v>264</v>
      </c>
      <c r="E532" s="2" t="s">
        <v>138</v>
      </c>
      <c r="F532" s="2" t="s">
        <v>982</v>
      </c>
      <c r="G532" s="2">
        <v>855.8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30</v>
      </c>
      <c r="N532" s="2">
        <v>30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v>0</v>
      </c>
      <c r="W532" s="2">
        <v>0</v>
      </c>
      <c r="X532" s="2">
        <v>915.8</v>
      </c>
    </row>
    <row r="533" spans="1:24" x14ac:dyDescent="0.25">
      <c r="G533" s="2" t="s">
        <v>983</v>
      </c>
    </row>
    <row r="534" spans="1:24" x14ac:dyDescent="0.25">
      <c r="A534" s="2">
        <v>264</v>
      </c>
      <c r="B534" s="2">
        <v>4011</v>
      </c>
      <c r="C534" s="2" t="s">
        <v>984</v>
      </c>
      <c r="D534" s="2" t="s">
        <v>248</v>
      </c>
      <c r="E534" s="2" t="s">
        <v>194</v>
      </c>
      <c r="F534" s="2" t="s">
        <v>985</v>
      </c>
      <c r="G534" s="2">
        <v>885.5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30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v>0</v>
      </c>
      <c r="W534" s="2">
        <v>0</v>
      </c>
      <c r="X534" s="2">
        <v>915.5</v>
      </c>
    </row>
    <row r="535" spans="1:24" x14ac:dyDescent="0.25">
      <c r="G535" s="2" t="s">
        <v>986</v>
      </c>
    </row>
    <row r="536" spans="1:24" x14ac:dyDescent="0.25">
      <c r="A536" s="2">
        <v>265</v>
      </c>
      <c r="B536" s="2">
        <v>4822</v>
      </c>
      <c r="C536" s="2" t="s">
        <v>987</v>
      </c>
      <c r="D536" s="2" t="s">
        <v>988</v>
      </c>
      <c r="E536" s="2" t="s">
        <v>989</v>
      </c>
      <c r="F536" s="2" t="s">
        <v>990</v>
      </c>
      <c r="G536" s="2">
        <v>915.2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v>0</v>
      </c>
      <c r="W536" s="2">
        <v>0</v>
      </c>
      <c r="X536" s="2">
        <v>915.2</v>
      </c>
    </row>
    <row r="537" spans="1:24" x14ac:dyDescent="0.25">
      <c r="G537" s="2" t="s">
        <v>991</v>
      </c>
    </row>
    <row r="538" spans="1:24" x14ac:dyDescent="0.25">
      <c r="A538" s="2">
        <v>266</v>
      </c>
      <c r="B538" s="2">
        <v>8628</v>
      </c>
      <c r="C538" s="2" t="s">
        <v>992</v>
      </c>
      <c r="D538" s="2" t="s">
        <v>248</v>
      </c>
      <c r="E538" s="2" t="s">
        <v>993</v>
      </c>
      <c r="F538" s="2" t="s">
        <v>994</v>
      </c>
      <c r="G538" s="2">
        <v>844.8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0</v>
      </c>
      <c r="N538" s="2">
        <v>0</v>
      </c>
      <c r="O538" s="2">
        <v>70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v>0</v>
      </c>
      <c r="W538" s="2">
        <v>0</v>
      </c>
      <c r="X538" s="2">
        <v>914.8</v>
      </c>
    </row>
    <row r="539" spans="1:24" x14ac:dyDescent="0.25">
      <c r="G539" s="2" t="s">
        <v>995</v>
      </c>
    </row>
    <row r="540" spans="1:24" x14ac:dyDescent="0.25">
      <c r="A540" s="2">
        <v>267</v>
      </c>
      <c r="B540" s="2">
        <v>9203</v>
      </c>
      <c r="C540" s="2" t="s">
        <v>996</v>
      </c>
      <c r="D540" s="2" t="s">
        <v>997</v>
      </c>
      <c r="E540" s="2" t="s">
        <v>51</v>
      </c>
      <c r="F540" s="2" t="s">
        <v>998</v>
      </c>
      <c r="G540" s="2">
        <v>844.8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70</v>
      </c>
      <c r="N540" s="2">
        <v>0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v>0</v>
      </c>
      <c r="W540" s="2">
        <v>0</v>
      </c>
      <c r="X540" s="2">
        <v>914.8</v>
      </c>
    </row>
    <row r="541" spans="1:24" x14ac:dyDescent="0.25">
      <c r="G541" s="2" t="s">
        <v>999</v>
      </c>
    </row>
    <row r="542" spans="1:24" x14ac:dyDescent="0.25">
      <c r="A542" s="2">
        <v>268</v>
      </c>
      <c r="B542" s="2">
        <v>4798</v>
      </c>
      <c r="C542" s="2" t="s">
        <v>1000</v>
      </c>
      <c r="D542" s="2" t="s">
        <v>94</v>
      </c>
      <c r="E542" s="2" t="s">
        <v>204</v>
      </c>
      <c r="F542" s="2" t="s">
        <v>1001</v>
      </c>
      <c r="G542" s="2">
        <v>864.6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50</v>
      </c>
      <c r="N542" s="2">
        <v>0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v>0</v>
      </c>
      <c r="W542" s="2">
        <v>0</v>
      </c>
      <c r="X542" s="2">
        <v>914.6</v>
      </c>
    </row>
    <row r="543" spans="1:24" x14ac:dyDescent="0.25">
      <c r="G543" s="2" t="s">
        <v>1002</v>
      </c>
    </row>
    <row r="544" spans="1:24" x14ac:dyDescent="0.25">
      <c r="A544" s="2">
        <v>269</v>
      </c>
      <c r="B544" s="2">
        <v>7354</v>
      </c>
      <c r="C544" s="2" t="s">
        <v>1003</v>
      </c>
      <c r="D544" s="2" t="s">
        <v>1004</v>
      </c>
      <c r="E544" s="2" t="s">
        <v>127</v>
      </c>
      <c r="F544" s="2" t="s">
        <v>1005</v>
      </c>
      <c r="G544" s="2">
        <v>914.1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W544" s="2">
        <v>0</v>
      </c>
      <c r="X544" s="2">
        <v>914.1</v>
      </c>
    </row>
    <row r="545" spans="1:24" x14ac:dyDescent="0.25">
      <c r="G545" s="2" t="s">
        <v>1006</v>
      </c>
    </row>
    <row r="546" spans="1:24" x14ac:dyDescent="0.25">
      <c r="A546" s="2">
        <v>270</v>
      </c>
      <c r="B546" s="2">
        <v>12180</v>
      </c>
      <c r="C546" s="2" t="s">
        <v>1007</v>
      </c>
      <c r="D546" s="2" t="s">
        <v>1008</v>
      </c>
      <c r="E546" s="2" t="s">
        <v>1009</v>
      </c>
      <c r="F546" s="2" t="s">
        <v>1010</v>
      </c>
      <c r="G546" s="2">
        <v>883.3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30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0</v>
      </c>
      <c r="W546" s="2">
        <v>0</v>
      </c>
      <c r="X546" s="2">
        <v>913.3</v>
      </c>
    </row>
    <row r="547" spans="1:24" x14ac:dyDescent="0.25">
      <c r="G547" s="2" t="s">
        <v>1011</v>
      </c>
    </row>
    <row r="548" spans="1:24" x14ac:dyDescent="0.25">
      <c r="A548" s="2">
        <v>271</v>
      </c>
      <c r="B548" s="2">
        <v>7568</v>
      </c>
      <c r="C548" s="2" t="s">
        <v>1012</v>
      </c>
      <c r="D548" s="2" t="s">
        <v>395</v>
      </c>
      <c r="E548" s="2" t="s">
        <v>39</v>
      </c>
      <c r="F548" s="2" t="s">
        <v>1013</v>
      </c>
      <c r="G548" s="2">
        <v>832.7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50</v>
      </c>
      <c r="N548" s="2">
        <v>30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W548" s="2">
        <v>0</v>
      </c>
      <c r="X548" s="2">
        <v>912.7</v>
      </c>
    </row>
    <row r="549" spans="1:24" x14ac:dyDescent="0.25">
      <c r="G549" s="2" t="s">
        <v>1014</v>
      </c>
    </row>
    <row r="550" spans="1:24" x14ac:dyDescent="0.25">
      <c r="A550" s="2">
        <v>272</v>
      </c>
      <c r="B550" s="2">
        <v>5953</v>
      </c>
      <c r="C550" s="2" t="s">
        <v>1015</v>
      </c>
      <c r="D550" s="2" t="s">
        <v>144</v>
      </c>
      <c r="E550" s="2" t="s">
        <v>16</v>
      </c>
      <c r="F550" s="2" t="s">
        <v>1016</v>
      </c>
      <c r="G550" s="2">
        <v>842.6</v>
      </c>
      <c r="H550" s="2">
        <v>0</v>
      </c>
      <c r="I550" s="2">
        <v>0</v>
      </c>
      <c r="J550" s="2">
        <v>0</v>
      </c>
      <c r="K550" s="2">
        <v>0</v>
      </c>
      <c r="L550" s="2">
        <v>0</v>
      </c>
      <c r="M550" s="2">
        <v>70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W550" s="2">
        <v>0</v>
      </c>
      <c r="X550" s="2">
        <v>912.6</v>
      </c>
    </row>
    <row r="551" spans="1:24" x14ac:dyDescent="0.25">
      <c r="G551" s="2" t="s">
        <v>1017</v>
      </c>
    </row>
    <row r="552" spans="1:24" x14ac:dyDescent="0.25">
      <c r="A552" s="2">
        <v>273</v>
      </c>
      <c r="B552" s="2">
        <v>14562</v>
      </c>
      <c r="C552" s="2" t="s">
        <v>1018</v>
      </c>
      <c r="D552" s="2" t="s">
        <v>79</v>
      </c>
      <c r="E552" s="2" t="s">
        <v>1019</v>
      </c>
      <c r="F552" s="2" t="s">
        <v>1020</v>
      </c>
      <c r="G552" s="2">
        <v>882.2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30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v>0</v>
      </c>
      <c r="W552" s="2">
        <v>0</v>
      </c>
      <c r="X552" s="2">
        <v>912.2</v>
      </c>
    </row>
    <row r="553" spans="1:24" x14ac:dyDescent="0.25">
      <c r="G553" s="2" t="s">
        <v>1021</v>
      </c>
    </row>
    <row r="554" spans="1:24" x14ac:dyDescent="0.25">
      <c r="A554" s="2">
        <v>274</v>
      </c>
      <c r="B554" s="2">
        <v>12712</v>
      </c>
      <c r="C554" s="2" t="s">
        <v>1022</v>
      </c>
      <c r="D554" s="2" t="s">
        <v>415</v>
      </c>
      <c r="E554" s="2" t="s">
        <v>90</v>
      </c>
      <c r="F554" s="2" t="s">
        <v>1023</v>
      </c>
      <c r="G554" s="2">
        <v>882.2</v>
      </c>
      <c r="H554" s="2">
        <v>0</v>
      </c>
      <c r="I554" s="2">
        <v>0</v>
      </c>
      <c r="J554" s="2">
        <v>0</v>
      </c>
      <c r="K554" s="2">
        <v>0</v>
      </c>
      <c r="L554" s="2">
        <v>0</v>
      </c>
      <c r="M554" s="2">
        <v>30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v>0</v>
      </c>
      <c r="W554" s="2">
        <v>0</v>
      </c>
      <c r="X554" s="2">
        <v>912.2</v>
      </c>
    </row>
    <row r="555" spans="1:24" x14ac:dyDescent="0.25">
      <c r="G555" s="2" t="s">
        <v>1024</v>
      </c>
    </row>
    <row r="556" spans="1:24" x14ac:dyDescent="0.25">
      <c r="A556" s="2">
        <v>275</v>
      </c>
      <c r="B556" s="2">
        <v>6113</v>
      </c>
      <c r="C556" s="2" t="s">
        <v>1025</v>
      </c>
      <c r="D556" s="2" t="s">
        <v>1026</v>
      </c>
      <c r="E556" s="2" t="s">
        <v>194</v>
      </c>
      <c r="F556" s="2" t="s">
        <v>1027</v>
      </c>
      <c r="G556" s="2">
        <v>841.5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70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v>0</v>
      </c>
      <c r="W556" s="2">
        <v>0</v>
      </c>
      <c r="X556" s="2">
        <v>911.5</v>
      </c>
    </row>
    <row r="557" spans="1:24" x14ac:dyDescent="0.25">
      <c r="G557" s="2" t="s">
        <v>1028</v>
      </c>
    </row>
    <row r="558" spans="1:24" x14ac:dyDescent="0.25">
      <c r="A558" s="2">
        <v>276</v>
      </c>
      <c r="B558" s="2">
        <v>6030</v>
      </c>
      <c r="C558" s="2" t="s">
        <v>1029</v>
      </c>
      <c r="D558" s="2" t="s">
        <v>1030</v>
      </c>
      <c r="E558" s="2" t="s">
        <v>73</v>
      </c>
      <c r="F558" s="2" t="s">
        <v>1031</v>
      </c>
      <c r="G558" s="2">
        <v>861.3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50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v>0</v>
      </c>
      <c r="W558" s="2">
        <v>0</v>
      </c>
      <c r="X558" s="2">
        <v>911.3</v>
      </c>
    </row>
    <row r="559" spans="1:24" x14ac:dyDescent="0.25">
      <c r="G559" s="2" t="s">
        <v>1032</v>
      </c>
    </row>
    <row r="560" spans="1:24" x14ac:dyDescent="0.25">
      <c r="A560" s="2">
        <v>277</v>
      </c>
      <c r="B560" s="2">
        <v>4615</v>
      </c>
      <c r="C560" s="2" t="s">
        <v>1033</v>
      </c>
      <c r="D560" s="2" t="s">
        <v>399</v>
      </c>
      <c r="E560" s="2" t="s">
        <v>84</v>
      </c>
      <c r="F560" s="2" t="s">
        <v>1034</v>
      </c>
      <c r="G560" s="2">
        <v>881.1</v>
      </c>
      <c r="H560" s="2">
        <v>0</v>
      </c>
      <c r="I560" s="2">
        <v>0</v>
      </c>
      <c r="J560" s="2">
        <v>0</v>
      </c>
      <c r="K560" s="2">
        <v>0</v>
      </c>
      <c r="L560" s="2">
        <v>0</v>
      </c>
      <c r="M560" s="2">
        <v>30</v>
      </c>
      <c r="N560" s="2">
        <v>0</v>
      </c>
      <c r="O560" s="2">
        <v>0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v>0</v>
      </c>
      <c r="W560" s="2">
        <v>0</v>
      </c>
      <c r="X560" s="2">
        <v>911.1</v>
      </c>
    </row>
    <row r="561" spans="1:24" x14ac:dyDescent="0.25">
      <c r="G561" s="2" t="s">
        <v>1035</v>
      </c>
    </row>
    <row r="562" spans="1:24" x14ac:dyDescent="0.25">
      <c r="A562" s="2">
        <v>278</v>
      </c>
      <c r="B562" s="2">
        <v>8853</v>
      </c>
      <c r="C562" s="2" t="s">
        <v>1036</v>
      </c>
      <c r="D562" s="2" t="s">
        <v>395</v>
      </c>
      <c r="E562" s="2" t="s">
        <v>39</v>
      </c>
      <c r="F562" s="2" t="s">
        <v>1037</v>
      </c>
      <c r="G562" s="2">
        <v>881.1</v>
      </c>
      <c r="H562" s="2">
        <v>0</v>
      </c>
      <c r="I562" s="2">
        <v>0</v>
      </c>
      <c r="J562" s="2">
        <v>0</v>
      </c>
      <c r="K562" s="2">
        <v>0</v>
      </c>
      <c r="L562" s="2">
        <v>0</v>
      </c>
      <c r="M562" s="2">
        <v>30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v>0</v>
      </c>
      <c r="W562" s="2">
        <v>0</v>
      </c>
      <c r="X562" s="2">
        <v>911.1</v>
      </c>
    </row>
    <row r="563" spans="1:24" x14ac:dyDescent="0.25">
      <c r="G563" s="2" t="s">
        <v>1038</v>
      </c>
    </row>
    <row r="564" spans="1:24" x14ac:dyDescent="0.25">
      <c r="A564" s="2">
        <v>279</v>
      </c>
      <c r="B564" s="2">
        <v>5370</v>
      </c>
      <c r="C564" s="2" t="s">
        <v>1039</v>
      </c>
      <c r="D564" s="2" t="s">
        <v>112</v>
      </c>
      <c r="E564" s="2" t="s">
        <v>1040</v>
      </c>
      <c r="F564" s="2" t="s">
        <v>1041</v>
      </c>
      <c r="G564" s="2">
        <v>880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30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v>0</v>
      </c>
      <c r="W564" s="2">
        <v>0</v>
      </c>
      <c r="X564" s="2">
        <v>910</v>
      </c>
    </row>
    <row r="565" spans="1:24" x14ac:dyDescent="0.25">
      <c r="G565" s="2" t="s">
        <v>1042</v>
      </c>
    </row>
    <row r="566" spans="1:24" x14ac:dyDescent="0.25">
      <c r="A566" s="2">
        <v>280</v>
      </c>
      <c r="B566" s="2">
        <v>11003</v>
      </c>
      <c r="C566" s="2" t="s">
        <v>234</v>
      </c>
      <c r="D566" s="2" t="s">
        <v>132</v>
      </c>
      <c r="E566" s="2" t="s">
        <v>127</v>
      </c>
      <c r="F566" s="2" t="s">
        <v>1043</v>
      </c>
      <c r="G566" s="2">
        <v>880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30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v>0</v>
      </c>
      <c r="W566" s="2">
        <v>0</v>
      </c>
      <c r="X566" s="2">
        <v>910</v>
      </c>
    </row>
    <row r="567" spans="1:24" x14ac:dyDescent="0.25">
      <c r="G567" s="2" t="s">
        <v>1044</v>
      </c>
    </row>
    <row r="568" spans="1:24" x14ac:dyDescent="0.25">
      <c r="A568" s="2">
        <v>281</v>
      </c>
      <c r="B568" s="2">
        <v>14103</v>
      </c>
      <c r="C568" s="2" t="s">
        <v>1045</v>
      </c>
      <c r="D568" s="2" t="s">
        <v>182</v>
      </c>
      <c r="E568" s="2" t="s">
        <v>194</v>
      </c>
      <c r="F568" s="2" t="s">
        <v>1046</v>
      </c>
      <c r="G568" s="2">
        <v>880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30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v>0</v>
      </c>
      <c r="W568" s="2">
        <v>0</v>
      </c>
      <c r="X568" s="2">
        <v>910</v>
      </c>
    </row>
    <row r="569" spans="1:24" x14ac:dyDescent="0.25">
      <c r="G569" s="2" t="s">
        <v>1047</v>
      </c>
    </row>
    <row r="570" spans="1:24" x14ac:dyDescent="0.25">
      <c r="A570" s="2">
        <v>282</v>
      </c>
      <c r="B570" s="2">
        <v>16373</v>
      </c>
      <c r="C570" s="2" t="s">
        <v>1048</v>
      </c>
      <c r="D570" s="2" t="s">
        <v>1049</v>
      </c>
      <c r="E570" s="2" t="s">
        <v>1050</v>
      </c>
      <c r="F570" s="2" t="s">
        <v>1051</v>
      </c>
      <c r="G570" s="2">
        <v>839.3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70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v>0</v>
      </c>
      <c r="W570" s="2">
        <v>0</v>
      </c>
      <c r="X570" s="2">
        <v>909.3</v>
      </c>
    </row>
    <row r="571" spans="1:24" x14ac:dyDescent="0.25">
      <c r="G571" s="2" t="s">
        <v>1052</v>
      </c>
    </row>
    <row r="572" spans="1:24" x14ac:dyDescent="0.25">
      <c r="A572" s="2">
        <v>283</v>
      </c>
      <c r="B572" s="2">
        <v>5941</v>
      </c>
      <c r="C572" s="2" t="s">
        <v>1053</v>
      </c>
      <c r="D572" s="2" t="s">
        <v>208</v>
      </c>
      <c r="E572" s="2" t="s">
        <v>73</v>
      </c>
      <c r="F572" s="2" t="s">
        <v>1054</v>
      </c>
      <c r="G572" s="2">
        <v>878.9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30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v>0</v>
      </c>
      <c r="W572" s="2">
        <v>0</v>
      </c>
      <c r="X572" s="2">
        <v>908.9</v>
      </c>
    </row>
    <row r="573" spans="1:24" x14ac:dyDescent="0.25">
      <c r="G573" s="2" t="s">
        <v>1055</v>
      </c>
    </row>
    <row r="574" spans="1:24" x14ac:dyDescent="0.25">
      <c r="A574" s="2">
        <v>284</v>
      </c>
      <c r="B574" s="2">
        <v>5879</v>
      </c>
      <c r="C574" s="2" t="s">
        <v>1056</v>
      </c>
      <c r="D574" s="2" t="s">
        <v>248</v>
      </c>
      <c r="E574" s="2" t="s">
        <v>1057</v>
      </c>
      <c r="F574" s="2" t="s">
        <v>1058</v>
      </c>
      <c r="G574" s="2">
        <v>908.6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v>0</v>
      </c>
      <c r="W574" s="2">
        <v>0</v>
      </c>
      <c r="X574" s="2">
        <v>908.6</v>
      </c>
    </row>
    <row r="575" spans="1:24" x14ac:dyDescent="0.25">
      <c r="G575" s="2" t="s">
        <v>1059</v>
      </c>
    </row>
    <row r="576" spans="1:24" x14ac:dyDescent="0.25">
      <c r="A576" s="2">
        <v>285</v>
      </c>
      <c r="B576" s="2">
        <v>7273</v>
      </c>
      <c r="C576" s="2" t="s">
        <v>1060</v>
      </c>
      <c r="D576" s="2" t="s">
        <v>1061</v>
      </c>
      <c r="E576" s="2" t="s">
        <v>39</v>
      </c>
      <c r="F576" s="2" t="s">
        <v>1062</v>
      </c>
      <c r="G576" s="2">
        <v>838.2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70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v>0</v>
      </c>
      <c r="W576" s="2">
        <v>0</v>
      </c>
      <c r="X576" s="2">
        <v>908.2</v>
      </c>
    </row>
    <row r="577" spans="1:24" x14ac:dyDescent="0.25">
      <c r="G577" s="2" t="s">
        <v>1063</v>
      </c>
    </row>
    <row r="578" spans="1:24" x14ac:dyDescent="0.25">
      <c r="A578" s="2">
        <v>286</v>
      </c>
      <c r="B578" s="2">
        <v>6862</v>
      </c>
      <c r="C578" s="2" t="s">
        <v>1064</v>
      </c>
      <c r="D578" s="2" t="s">
        <v>112</v>
      </c>
      <c r="E578" s="2" t="s">
        <v>84</v>
      </c>
      <c r="F578" s="2" t="s">
        <v>1065</v>
      </c>
      <c r="G578" s="2">
        <v>877.8</v>
      </c>
      <c r="H578" s="2">
        <v>0</v>
      </c>
      <c r="I578" s="2">
        <v>0</v>
      </c>
      <c r="J578" s="2">
        <v>0</v>
      </c>
      <c r="K578" s="2">
        <v>0</v>
      </c>
      <c r="L578" s="2">
        <v>0</v>
      </c>
      <c r="M578" s="2">
        <v>30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v>0</v>
      </c>
      <c r="W578" s="2">
        <v>0</v>
      </c>
      <c r="X578" s="2">
        <v>907.8</v>
      </c>
    </row>
    <row r="579" spans="1:24" x14ac:dyDescent="0.25">
      <c r="G579" s="2" t="s">
        <v>1066</v>
      </c>
    </row>
    <row r="580" spans="1:24" x14ac:dyDescent="0.25">
      <c r="A580" s="2">
        <v>287</v>
      </c>
      <c r="B580" s="2">
        <v>6611</v>
      </c>
      <c r="C580" s="2" t="s">
        <v>1067</v>
      </c>
      <c r="D580" s="2" t="s">
        <v>112</v>
      </c>
      <c r="E580" s="2" t="s">
        <v>318</v>
      </c>
      <c r="F580" s="2" t="s">
        <v>1068</v>
      </c>
      <c r="G580" s="2">
        <v>877.8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30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W580" s="2">
        <v>0</v>
      </c>
      <c r="X580" s="2">
        <v>907.8</v>
      </c>
    </row>
    <row r="581" spans="1:24" x14ac:dyDescent="0.25">
      <c r="G581" s="2" t="s">
        <v>1069</v>
      </c>
    </row>
    <row r="582" spans="1:24" x14ac:dyDescent="0.25">
      <c r="A582" s="2">
        <v>288</v>
      </c>
      <c r="B582" s="2">
        <v>3690</v>
      </c>
      <c r="C582" s="2" t="s">
        <v>1070</v>
      </c>
      <c r="D582" s="2" t="s">
        <v>148</v>
      </c>
      <c r="E582" s="2" t="s">
        <v>78</v>
      </c>
      <c r="F582" s="2" t="s">
        <v>1071</v>
      </c>
      <c r="G582" s="2">
        <v>907.5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v>0</v>
      </c>
      <c r="W582" s="2">
        <v>0</v>
      </c>
      <c r="X582" s="2">
        <v>907.5</v>
      </c>
    </row>
    <row r="583" spans="1:24" x14ac:dyDescent="0.25">
      <c r="G583" s="2" t="s">
        <v>1072</v>
      </c>
    </row>
    <row r="584" spans="1:24" x14ac:dyDescent="0.25">
      <c r="A584" s="2">
        <v>289</v>
      </c>
      <c r="B584" s="2">
        <v>13271</v>
      </c>
      <c r="C584" s="2" t="s">
        <v>1074</v>
      </c>
      <c r="D584" s="2" t="s">
        <v>248</v>
      </c>
      <c r="E584" s="2" t="s">
        <v>84</v>
      </c>
      <c r="F584" s="2" t="s">
        <v>1075</v>
      </c>
      <c r="G584" s="2">
        <v>907.5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0</v>
      </c>
      <c r="W584" s="2">
        <v>0</v>
      </c>
      <c r="X584" s="2">
        <v>907.5</v>
      </c>
    </row>
    <row r="585" spans="1:24" x14ac:dyDescent="0.25">
      <c r="G585" s="2" t="s">
        <v>1076</v>
      </c>
    </row>
    <row r="586" spans="1:24" x14ac:dyDescent="0.25">
      <c r="A586" s="2">
        <v>290</v>
      </c>
      <c r="B586" s="2">
        <v>3091</v>
      </c>
      <c r="C586" s="2" t="s">
        <v>1078</v>
      </c>
      <c r="D586" s="2" t="s">
        <v>112</v>
      </c>
      <c r="E586" s="2" t="s">
        <v>73</v>
      </c>
      <c r="F586" s="2" t="s">
        <v>1079</v>
      </c>
      <c r="G586" s="2">
        <v>876.7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30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v>0</v>
      </c>
      <c r="W586" s="2">
        <v>2</v>
      </c>
      <c r="X586" s="2">
        <v>906.7</v>
      </c>
    </row>
    <row r="587" spans="1:24" x14ac:dyDescent="0.25">
      <c r="G587" s="2" t="s">
        <v>1080</v>
      </c>
    </row>
    <row r="588" spans="1:24" x14ac:dyDescent="0.25">
      <c r="A588" s="2">
        <v>291</v>
      </c>
      <c r="B588" s="2">
        <v>5022</v>
      </c>
      <c r="C588" s="2" t="s">
        <v>1081</v>
      </c>
      <c r="D588" s="2" t="s">
        <v>902</v>
      </c>
      <c r="E588" s="2" t="s">
        <v>194</v>
      </c>
      <c r="F588" s="2" t="s">
        <v>1082</v>
      </c>
      <c r="G588" s="2">
        <v>786.5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70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50</v>
      </c>
      <c r="T588" s="2">
        <v>0</v>
      </c>
      <c r="U588" s="2">
        <v>0</v>
      </c>
      <c r="W588" s="2">
        <v>0</v>
      </c>
      <c r="X588" s="2">
        <v>906.5</v>
      </c>
    </row>
    <row r="589" spans="1:24" x14ac:dyDescent="0.25">
      <c r="G589" s="2" t="s">
        <v>1083</v>
      </c>
    </row>
    <row r="590" spans="1:24" x14ac:dyDescent="0.25">
      <c r="A590" s="2">
        <v>292</v>
      </c>
      <c r="B590" s="2">
        <v>7162</v>
      </c>
      <c r="C590" s="2" t="s">
        <v>1084</v>
      </c>
      <c r="D590" s="2" t="s">
        <v>112</v>
      </c>
      <c r="E590" s="2" t="s">
        <v>194</v>
      </c>
      <c r="F590" s="2" t="s">
        <v>1085</v>
      </c>
      <c r="G590" s="2">
        <v>845.9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30</v>
      </c>
      <c r="N590" s="2">
        <v>30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v>0</v>
      </c>
      <c r="W590" s="2">
        <v>0</v>
      </c>
      <c r="X590" s="2">
        <v>905.9</v>
      </c>
    </row>
    <row r="591" spans="1:24" x14ac:dyDescent="0.25">
      <c r="G591" s="2" t="s">
        <v>1086</v>
      </c>
    </row>
    <row r="592" spans="1:24" x14ac:dyDescent="0.25">
      <c r="A592" s="2">
        <v>293</v>
      </c>
      <c r="B592" s="2">
        <v>17519</v>
      </c>
      <c r="C592" s="2" t="s">
        <v>1087</v>
      </c>
      <c r="D592" s="2" t="s">
        <v>755</v>
      </c>
      <c r="E592" s="2" t="s">
        <v>39</v>
      </c>
      <c r="F592" s="2" t="s">
        <v>1088</v>
      </c>
      <c r="G592" s="2">
        <v>855.8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50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v>0</v>
      </c>
      <c r="W592" s="2">
        <v>0</v>
      </c>
      <c r="X592" s="2">
        <v>905.8</v>
      </c>
    </row>
    <row r="593" spans="1:24" x14ac:dyDescent="0.25">
      <c r="G593" s="2" t="s">
        <v>1089</v>
      </c>
    </row>
    <row r="594" spans="1:24" x14ac:dyDescent="0.25">
      <c r="A594" s="2">
        <v>294</v>
      </c>
      <c r="B594" s="2">
        <v>12262</v>
      </c>
      <c r="C594" s="2" t="s">
        <v>1090</v>
      </c>
      <c r="D594" s="2" t="s">
        <v>112</v>
      </c>
      <c r="E594" s="2" t="s">
        <v>73</v>
      </c>
      <c r="F594" s="2" t="s">
        <v>1091</v>
      </c>
      <c r="G594" s="2">
        <v>875.6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30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v>0</v>
      </c>
      <c r="W594" s="2">
        <v>2</v>
      </c>
      <c r="X594" s="2">
        <v>905.6</v>
      </c>
    </row>
    <row r="595" spans="1:24" x14ac:dyDescent="0.25">
      <c r="G595" s="2" t="s">
        <v>1092</v>
      </c>
    </row>
    <row r="596" spans="1:24" x14ac:dyDescent="0.25">
      <c r="A596" s="2">
        <v>295</v>
      </c>
      <c r="B596" s="2">
        <v>3000</v>
      </c>
      <c r="C596" s="2" t="s">
        <v>1093</v>
      </c>
      <c r="D596" s="2" t="s">
        <v>1094</v>
      </c>
      <c r="E596" s="2" t="s">
        <v>51</v>
      </c>
      <c r="F596" s="2" t="s">
        <v>1095</v>
      </c>
      <c r="G596" s="2">
        <v>905.3</v>
      </c>
      <c r="H596" s="2">
        <v>0</v>
      </c>
      <c r="I596" s="2">
        <v>0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v>0</v>
      </c>
      <c r="W596" s="2">
        <v>0</v>
      </c>
      <c r="X596" s="2">
        <v>905.3</v>
      </c>
    </row>
    <row r="597" spans="1:24" x14ac:dyDescent="0.25">
      <c r="G597" s="2" t="s">
        <v>1096</v>
      </c>
    </row>
    <row r="598" spans="1:24" x14ac:dyDescent="0.25">
      <c r="A598" s="2">
        <v>296</v>
      </c>
      <c r="B598" s="2">
        <v>10322</v>
      </c>
      <c r="C598" s="2" t="s">
        <v>1097</v>
      </c>
      <c r="D598" s="2" t="s">
        <v>1098</v>
      </c>
      <c r="E598" s="2" t="s">
        <v>194</v>
      </c>
      <c r="F598" s="2" t="s">
        <v>1099</v>
      </c>
      <c r="G598" s="2">
        <v>905.3</v>
      </c>
      <c r="H598" s="2">
        <v>0</v>
      </c>
      <c r="I598" s="2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v>0</v>
      </c>
      <c r="W598" s="2">
        <v>0</v>
      </c>
      <c r="X598" s="2">
        <v>905.3</v>
      </c>
    </row>
    <row r="599" spans="1:24" x14ac:dyDescent="0.25">
      <c r="G599" s="2" t="s">
        <v>1100</v>
      </c>
    </row>
    <row r="600" spans="1:24" x14ac:dyDescent="0.25">
      <c r="A600" s="2">
        <v>297</v>
      </c>
      <c r="B600" s="2">
        <v>13962</v>
      </c>
      <c r="C600" s="2" t="s">
        <v>1101</v>
      </c>
      <c r="D600" s="2" t="s">
        <v>430</v>
      </c>
      <c r="E600" s="2" t="s">
        <v>148</v>
      </c>
      <c r="F600" s="2" t="s">
        <v>1102</v>
      </c>
      <c r="G600" s="2">
        <v>834.9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70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v>0</v>
      </c>
      <c r="W600" s="2">
        <v>0</v>
      </c>
      <c r="X600" s="2">
        <v>904.9</v>
      </c>
    </row>
    <row r="601" spans="1:24" x14ac:dyDescent="0.25">
      <c r="G601" s="2" t="s">
        <v>1103</v>
      </c>
    </row>
    <row r="602" spans="1:24" x14ac:dyDescent="0.25">
      <c r="A602" s="2">
        <v>298</v>
      </c>
      <c r="B602" s="2">
        <v>7063</v>
      </c>
      <c r="C602" s="2" t="s">
        <v>1104</v>
      </c>
      <c r="D602" s="2" t="s">
        <v>56</v>
      </c>
      <c r="E602" s="2" t="s">
        <v>194</v>
      </c>
      <c r="F602" s="2" t="s">
        <v>1105</v>
      </c>
      <c r="G602" s="2">
        <v>844.8</v>
      </c>
      <c r="H602" s="2">
        <v>0</v>
      </c>
      <c r="I602" s="2">
        <v>0</v>
      </c>
      <c r="J602" s="2">
        <v>0</v>
      </c>
      <c r="K602" s="2">
        <v>0</v>
      </c>
      <c r="L602" s="2">
        <v>0</v>
      </c>
      <c r="M602" s="2">
        <v>30</v>
      </c>
      <c r="N602" s="2">
        <v>0</v>
      </c>
      <c r="O602" s="2">
        <v>0</v>
      </c>
      <c r="P602" s="2">
        <v>0</v>
      </c>
      <c r="Q602" s="2">
        <v>30</v>
      </c>
      <c r="R602" s="2">
        <v>0</v>
      </c>
      <c r="S602" s="2">
        <v>0</v>
      </c>
      <c r="T602" s="2">
        <v>0</v>
      </c>
      <c r="U602" s="2">
        <v>0</v>
      </c>
      <c r="W602" s="2">
        <v>0</v>
      </c>
      <c r="X602" s="2">
        <v>904.8</v>
      </c>
    </row>
    <row r="603" spans="1:24" x14ac:dyDescent="0.25">
      <c r="G603" s="2" t="s">
        <v>1106</v>
      </c>
    </row>
    <row r="604" spans="1:24" x14ac:dyDescent="0.25">
      <c r="A604" s="2">
        <v>299</v>
      </c>
      <c r="B604" s="2">
        <v>6491</v>
      </c>
      <c r="C604" s="2" t="s">
        <v>1107</v>
      </c>
      <c r="D604" s="2" t="s">
        <v>1108</v>
      </c>
      <c r="E604" s="2" t="s">
        <v>1109</v>
      </c>
      <c r="F604" s="2" t="s">
        <v>1110</v>
      </c>
      <c r="G604" s="2">
        <v>873.4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30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v>0</v>
      </c>
      <c r="W604" s="2">
        <v>0</v>
      </c>
      <c r="X604" s="2">
        <v>903.4</v>
      </c>
    </row>
    <row r="605" spans="1:24" x14ac:dyDescent="0.25">
      <c r="G605" s="2" t="s">
        <v>1111</v>
      </c>
    </row>
    <row r="606" spans="1:24" x14ac:dyDescent="0.25">
      <c r="A606" s="2">
        <v>300</v>
      </c>
      <c r="B606" s="2">
        <v>5673</v>
      </c>
      <c r="C606" s="2" t="s">
        <v>1112</v>
      </c>
      <c r="D606" s="2" t="s">
        <v>1113</v>
      </c>
      <c r="E606" s="2" t="s">
        <v>1114</v>
      </c>
      <c r="F606" s="2" t="s">
        <v>1115</v>
      </c>
      <c r="G606" s="2">
        <v>873.4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30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v>0</v>
      </c>
      <c r="W606" s="2">
        <v>0</v>
      </c>
      <c r="X606" s="2">
        <v>903.4</v>
      </c>
    </row>
    <row r="607" spans="1:24" x14ac:dyDescent="0.25">
      <c r="G607" s="2" t="s">
        <v>1116</v>
      </c>
    </row>
    <row r="608" spans="1:24" x14ac:dyDescent="0.25">
      <c r="A608" s="2">
        <v>301</v>
      </c>
      <c r="B608" s="2">
        <v>12586</v>
      </c>
      <c r="C608" s="2" t="s">
        <v>1117</v>
      </c>
      <c r="D608" s="2" t="s">
        <v>346</v>
      </c>
      <c r="E608" s="2" t="s">
        <v>16</v>
      </c>
      <c r="F608" s="2" t="s">
        <v>1118</v>
      </c>
      <c r="G608" s="2">
        <v>752.4</v>
      </c>
      <c r="H608" s="2">
        <v>150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v>0</v>
      </c>
      <c r="W608" s="2">
        <v>0</v>
      </c>
      <c r="X608" s="2">
        <v>902.4</v>
      </c>
    </row>
    <row r="609" spans="1:24" x14ac:dyDescent="0.25">
      <c r="G609" s="2" t="s">
        <v>1119</v>
      </c>
    </row>
    <row r="610" spans="1:24" x14ac:dyDescent="0.25">
      <c r="A610" s="2">
        <v>302</v>
      </c>
      <c r="B610" s="2">
        <v>9984</v>
      </c>
      <c r="C610" s="2" t="s">
        <v>1120</v>
      </c>
      <c r="D610" s="2" t="s">
        <v>132</v>
      </c>
      <c r="E610" s="2" t="s">
        <v>194</v>
      </c>
      <c r="F610" s="2" t="s">
        <v>1121</v>
      </c>
      <c r="G610" s="2">
        <v>872.3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30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v>0</v>
      </c>
      <c r="W610" s="2">
        <v>0</v>
      </c>
      <c r="X610" s="2">
        <v>902.3</v>
      </c>
    </row>
    <row r="611" spans="1:24" x14ac:dyDescent="0.25">
      <c r="G611" s="2" t="s">
        <v>1122</v>
      </c>
    </row>
    <row r="612" spans="1:24" x14ac:dyDescent="0.25">
      <c r="A612" s="2">
        <v>303</v>
      </c>
      <c r="B612" s="2">
        <v>11917</v>
      </c>
      <c r="C612" s="2" t="s">
        <v>767</v>
      </c>
      <c r="D612" s="2" t="s">
        <v>38</v>
      </c>
      <c r="E612" s="2" t="s">
        <v>127</v>
      </c>
      <c r="F612" s="2" t="s">
        <v>1123</v>
      </c>
      <c r="G612" s="2">
        <v>902</v>
      </c>
      <c r="H612" s="2">
        <v>0</v>
      </c>
      <c r="I612" s="2">
        <v>0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0</v>
      </c>
      <c r="W612" s="2">
        <v>0</v>
      </c>
      <c r="X612" s="2">
        <v>902</v>
      </c>
    </row>
    <row r="613" spans="1:24" x14ac:dyDescent="0.25">
      <c r="G613" s="2" t="s">
        <v>1124</v>
      </c>
    </row>
    <row r="614" spans="1:24" x14ac:dyDescent="0.25">
      <c r="A614" s="2">
        <v>304</v>
      </c>
      <c r="B614" s="2">
        <v>13846</v>
      </c>
      <c r="C614" s="2" t="s">
        <v>1048</v>
      </c>
      <c r="D614" s="2" t="s">
        <v>1125</v>
      </c>
      <c r="E614" s="2" t="s">
        <v>194</v>
      </c>
      <c r="F614" s="2" t="s">
        <v>1126</v>
      </c>
      <c r="G614" s="2">
        <v>902</v>
      </c>
      <c r="H614" s="2">
        <v>0</v>
      </c>
      <c r="I614" s="2">
        <v>0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v>0</v>
      </c>
      <c r="W614" s="2">
        <v>1</v>
      </c>
      <c r="X614" s="2">
        <v>902</v>
      </c>
    </row>
    <row r="615" spans="1:24" x14ac:dyDescent="0.25">
      <c r="G615" s="2" t="s">
        <v>1127</v>
      </c>
    </row>
    <row r="616" spans="1:24" x14ac:dyDescent="0.25">
      <c r="A616" s="2">
        <v>305</v>
      </c>
      <c r="B616" s="2">
        <v>8816</v>
      </c>
      <c r="C616" s="2" t="s">
        <v>1128</v>
      </c>
      <c r="D616" s="2" t="s">
        <v>112</v>
      </c>
      <c r="E616" s="2" t="s">
        <v>51</v>
      </c>
      <c r="F616" s="2" t="s">
        <v>1129</v>
      </c>
      <c r="G616" s="2">
        <v>831.6</v>
      </c>
      <c r="H616" s="2">
        <v>0</v>
      </c>
      <c r="I616" s="2">
        <v>0</v>
      </c>
      <c r="J616" s="2">
        <v>0</v>
      </c>
      <c r="K616" s="2">
        <v>0</v>
      </c>
      <c r="L616" s="2">
        <v>0</v>
      </c>
      <c r="M616" s="2">
        <v>70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v>0</v>
      </c>
      <c r="W616" s="2">
        <v>0</v>
      </c>
      <c r="X616" s="2">
        <v>901.6</v>
      </c>
    </row>
    <row r="617" spans="1:24" x14ac:dyDescent="0.25">
      <c r="G617" s="2" t="s">
        <v>1130</v>
      </c>
    </row>
    <row r="618" spans="1:24" x14ac:dyDescent="0.25">
      <c r="A618" s="2">
        <v>306</v>
      </c>
      <c r="B618" s="2">
        <v>6517</v>
      </c>
      <c r="C618" s="2" t="s">
        <v>1131</v>
      </c>
      <c r="D618" s="2" t="s">
        <v>1132</v>
      </c>
      <c r="E618" s="2" t="s">
        <v>113</v>
      </c>
      <c r="F618" s="2" t="s">
        <v>1133</v>
      </c>
      <c r="G618" s="2">
        <v>831.6</v>
      </c>
      <c r="H618" s="2">
        <v>0</v>
      </c>
      <c r="I618" s="2">
        <v>0</v>
      </c>
      <c r="J618" s="2">
        <v>0</v>
      </c>
      <c r="K618" s="2">
        <v>0</v>
      </c>
      <c r="L618" s="2">
        <v>0</v>
      </c>
      <c r="M618" s="2">
        <v>70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  <c r="S618" s="2">
        <v>0</v>
      </c>
      <c r="T618" s="2">
        <v>0</v>
      </c>
      <c r="U618" s="2">
        <v>0</v>
      </c>
      <c r="W618" s="2">
        <v>0</v>
      </c>
      <c r="X618" s="2">
        <v>901.6</v>
      </c>
    </row>
    <row r="619" spans="1:24" x14ac:dyDescent="0.25">
      <c r="G619" s="2" t="s">
        <v>1134</v>
      </c>
    </row>
    <row r="620" spans="1:24" x14ac:dyDescent="0.25">
      <c r="A620" s="2">
        <v>307</v>
      </c>
      <c r="B620" s="2">
        <v>11728</v>
      </c>
      <c r="C620" s="2" t="s">
        <v>1135</v>
      </c>
      <c r="D620" s="2" t="s">
        <v>1136</v>
      </c>
      <c r="E620" s="2" t="s">
        <v>342</v>
      </c>
      <c r="F620" s="2" t="s">
        <v>1137</v>
      </c>
      <c r="G620" s="2">
        <v>871.2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30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v>0</v>
      </c>
      <c r="W620" s="2">
        <v>0</v>
      </c>
      <c r="X620" s="2">
        <v>901.2</v>
      </c>
    </row>
    <row r="621" spans="1:24" x14ac:dyDescent="0.25">
      <c r="G621" s="2" t="s">
        <v>1138</v>
      </c>
    </row>
    <row r="622" spans="1:24" x14ac:dyDescent="0.25">
      <c r="A622" s="2">
        <v>308</v>
      </c>
      <c r="B622" s="2">
        <v>1062</v>
      </c>
      <c r="C622" s="2" t="s">
        <v>1139</v>
      </c>
      <c r="D622" s="2" t="s">
        <v>373</v>
      </c>
      <c r="E622" s="2" t="s">
        <v>133</v>
      </c>
      <c r="F622" s="2" t="s">
        <v>1140</v>
      </c>
      <c r="G622" s="2">
        <v>900.9</v>
      </c>
      <c r="H622" s="2">
        <v>0</v>
      </c>
      <c r="I622" s="2">
        <v>0</v>
      </c>
      <c r="J622" s="2">
        <v>0</v>
      </c>
      <c r="K622" s="2">
        <v>0</v>
      </c>
      <c r="L622" s="2">
        <v>0</v>
      </c>
      <c r="M622" s="2">
        <v>0</v>
      </c>
      <c r="N622" s="2">
        <v>0</v>
      </c>
      <c r="O622" s="2">
        <v>0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v>0</v>
      </c>
      <c r="W622" s="2">
        <v>0</v>
      </c>
      <c r="X622" s="2">
        <v>900.9</v>
      </c>
    </row>
    <row r="623" spans="1:24" x14ac:dyDescent="0.25">
      <c r="G623" s="2" t="s">
        <v>1141</v>
      </c>
    </row>
    <row r="624" spans="1:24" x14ac:dyDescent="0.25">
      <c r="A624" s="2">
        <v>309</v>
      </c>
      <c r="B624" s="2">
        <v>16758</v>
      </c>
      <c r="C624" s="2" t="s">
        <v>1142</v>
      </c>
      <c r="D624" s="2" t="s">
        <v>415</v>
      </c>
      <c r="E624" s="2" t="s">
        <v>84</v>
      </c>
      <c r="F624" s="2" t="s">
        <v>1143</v>
      </c>
      <c r="G624" s="2">
        <v>900.9</v>
      </c>
      <c r="H624" s="2">
        <v>0</v>
      </c>
      <c r="I624" s="2">
        <v>0</v>
      </c>
      <c r="J624" s="2">
        <v>0</v>
      </c>
      <c r="K624" s="2">
        <v>0</v>
      </c>
      <c r="L624" s="2">
        <v>0</v>
      </c>
      <c r="M624" s="2">
        <v>0</v>
      </c>
      <c r="N624" s="2">
        <v>0</v>
      </c>
      <c r="O624" s="2">
        <v>0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v>0</v>
      </c>
      <c r="W624" s="2">
        <v>0</v>
      </c>
      <c r="X624" s="2">
        <v>900.9</v>
      </c>
    </row>
    <row r="625" spans="1:24" x14ac:dyDescent="0.25">
      <c r="G625" s="2" t="s">
        <v>1144</v>
      </c>
    </row>
    <row r="626" spans="1:24" x14ac:dyDescent="0.25">
      <c r="A626" s="2">
        <v>310</v>
      </c>
      <c r="B626" s="2">
        <v>12517</v>
      </c>
      <c r="C626" s="2" t="s">
        <v>1145</v>
      </c>
      <c r="D626" s="2" t="s">
        <v>365</v>
      </c>
      <c r="E626" s="2" t="s">
        <v>78</v>
      </c>
      <c r="F626" s="2" t="s">
        <v>1146</v>
      </c>
      <c r="G626" s="2">
        <v>900.9</v>
      </c>
      <c r="H626" s="2">
        <v>0</v>
      </c>
      <c r="I626" s="2">
        <v>0</v>
      </c>
      <c r="J626" s="2">
        <v>0</v>
      </c>
      <c r="K626" s="2">
        <v>0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v>0</v>
      </c>
      <c r="W626" s="2">
        <v>0</v>
      </c>
      <c r="X626" s="2">
        <v>900.9</v>
      </c>
    </row>
    <row r="627" spans="1:24" x14ac:dyDescent="0.25">
      <c r="G627" s="2" t="s">
        <v>1147</v>
      </c>
    </row>
    <row r="628" spans="1:24" x14ac:dyDescent="0.25">
      <c r="A628" s="2">
        <v>311</v>
      </c>
      <c r="B628" s="2">
        <v>2399</v>
      </c>
      <c r="C628" s="2" t="s">
        <v>1148</v>
      </c>
      <c r="D628" s="2" t="s">
        <v>252</v>
      </c>
      <c r="E628" s="2" t="s">
        <v>39</v>
      </c>
      <c r="F628" s="2" t="s">
        <v>1149</v>
      </c>
      <c r="G628" s="2">
        <v>870.1</v>
      </c>
      <c r="H628" s="2">
        <v>0</v>
      </c>
      <c r="I628" s="2">
        <v>0</v>
      </c>
      <c r="J628" s="2">
        <v>0</v>
      </c>
      <c r="K628" s="2">
        <v>0</v>
      </c>
      <c r="L628" s="2">
        <v>0</v>
      </c>
      <c r="M628" s="2">
        <v>30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v>0</v>
      </c>
      <c r="W628" s="2">
        <v>0</v>
      </c>
      <c r="X628" s="2">
        <v>900.1</v>
      </c>
    </row>
    <row r="629" spans="1:24" x14ac:dyDescent="0.25">
      <c r="G629" s="2" t="s">
        <v>1150</v>
      </c>
    </row>
    <row r="630" spans="1:24" x14ac:dyDescent="0.25">
      <c r="A630" s="2">
        <v>312</v>
      </c>
      <c r="B630" s="2">
        <v>10130</v>
      </c>
      <c r="C630" s="2" t="s">
        <v>1151</v>
      </c>
      <c r="D630" s="2" t="s">
        <v>264</v>
      </c>
      <c r="E630" s="2" t="s">
        <v>194</v>
      </c>
      <c r="F630" s="2" t="s">
        <v>1152</v>
      </c>
      <c r="G630" s="2">
        <v>870.1</v>
      </c>
      <c r="H630" s="2">
        <v>0</v>
      </c>
      <c r="I630" s="2">
        <v>0</v>
      </c>
      <c r="J630" s="2">
        <v>0</v>
      </c>
      <c r="K630" s="2">
        <v>0</v>
      </c>
      <c r="L630" s="2">
        <v>0</v>
      </c>
      <c r="M630" s="2">
        <v>30</v>
      </c>
      <c r="N630" s="2">
        <v>0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v>0</v>
      </c>
      <c r="W630" s="2">
        <v>0</v>
      </c>
      <c r="X630" s="2">
        <v>900.1</v>
      </c>
    </row>
    <row r="631" spans="1:24" x14ac:dyDescent="0.25">
      <c r="G631" s="2" t="s">
        <v>1153</v>
      </c>
    </row>
    <row r="632" spans="1:24" x14ac:dyDescent="0.25">
      <c r="A632" s="2">
        <v>313</v>
      </c>
      <c r="B632" s="2">
        <v>12978</v>
      </c>
      <c r="C632" s="2" t="s">
        <v>1154</v>
      </c>
      <c r="D632" s="2" t="s">
        <v>1155</v>
      </c>
      <c r="E632" s="2" t="s">
        <v>126</v>
      </c>
      <c r="F632" s="2" t="s">
        <v>1156</v>
      </c>
      <c r="G632" s="2">
        <v>870.1</v>
      </c>
      <c r="H632" s="2">
        <v>0</v>
      </c>
      <c r="I632" s="2">
        <v>0</v>
      </c>
      <c r="J632" s="2">
        <v>0</v>
      </c>
      <c r="K632" s="2">
        <v>0</v>
      </c>
      <c r="L632" s="2">
        <v>0</v>
      </c>
      <c r="M632" s="2">
        <v>30</v>
      </c>
      <c r="N632" s="2">
        <v>0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v>0</v>
      </c>
      <c r="W632" s="2">
        <v>0</v>
      </c>
      <c r="X632" s="2">
        <v>900.1</v>
      </c>
    </row>
    <row r="633" spans="1:24" x14ac:dyDescent="0.25">
      <c r="G633" s="2" t="s">
        <v>1157</v>
      </c>
    </row>
    <row r="634" spans="1:24" x14ac:dyDescent="0.25">
      <c r="A634" s="2">
        <v>314</v>
      </c>
      <c r="B634" s="2">
        <v>4707</v>
      </c>
      <c r="C634" s="2" t="s">
        <v>197</v>
      </c>
      <c r="D634" s="2" t="s">
        <v>1158</v>
      </c>
      <c r="E634" s="2" t="s">
        <v>240</v>
      </c>
      <c r="F634" s="2" t="s">
        <v>1159</v>
      </c>
      <c r="G634" s="2">
        <v>869</v>
      </c>
      <c r="H634" s="2">
        <v>0</v>
      </c>
      <c r="I634" s="2">
        <v>0</v>
      </c>
      <c r="J634" s="2">
        <v>0</v>
      </c>
      <c r="K634" s="2">
        <v>0</v>
      </c>
      <c r="L634" s="2">
        <v>0</v>
      </c>
      <c r="M634" s="2">
        <v>30</v>
      </c>
      <c r="N634" s="2">
        <v>0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v>0</v>
      </c>
      <c r="W634" s="2">
        <v>0</v>
      </c>
      <c r="X634" s="2">
        <v>899</v>
      </c>
    </row>
    <row r="635" spans="1:24" x14ac:dyDescent="0.25">
      <c r="G635" s="2" t="s">
        <v>1160</v>
      </c>
    </row>
    <row r="636" spans="1:24" x14ac:dyDescent="0.25">
      <c r="A636" s="2">
        <v>315</v>
      </c>
      <c r="B636" s="2">
        <v>3184</v>
      </c>
      <c r="C636" s="2" t="s">
        <v>1161</v>
      </c>
      <c r="D636" s="2" t="s">
        <v>16</v>
      </c>
      <c r="E636" s="2" t="s">
        <v>268</v>
      </c>
      <c r="F636" s="2" t="s">
        <v>1162</v>
      </c>
      <c r="G636" s="2">
        <v>898.7</v>
      </c>
      <c r="H636" s="2">
        <v>0</v>
      </c>
      <c r="I636" s="2">
        <v>0</v>
      </c>
      <c r="J636" s="2">
        <v>0</v>
      </c>
      <c r="K636" s="2">
        <v>0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v>0</v>
      </c>
      <c r="W636" s="2">
        <v>0</v>
      </c>
      <c r="X636" s="2">
        <v>898.7</v>
      </c>
    </row>
    <row r="637" spans="1:24" x14ac:dyDescent="0.25">
      <c r="G637" s="2" t="s">
        <v>1163</v>
      </c>
    </row>
    <row r="638" spans="1:24" x14ac:dyDescent="0.25">
      <c r="A638" s="2">
        <v>316</v>
      </c>
      <c r="B638" s="2">
        <v>12943</v>
      </c>
      <c r="C638" s="2" t="s">
        <v>1164</v>
      </c>
      <c r="D638" s="2" t="s">
        <v>98</v>
      </c>
      <c r="E638" s="2" t="s">
        <v>16</v>
      </c>
      <c r="F638" s="2" t="s">
        <v>1165</v>
      </c>
      <c r="G638" s="2">
        <v>897.6</v>
      </c>
      <c r="H638" s="2">
        <v>0</v>
      </c>
      <c r="I638" s="2">
        <v>0</v>
      </c>
      <c r="J638" s="2">
        <v>0</v>
      </c>
      <c r="K638" s="2">
        <v>0</v>
      </c>
      <c r="L638" s="2">
        <v>0</v>
      </c>
      <c r="M638" s="2">
        <v>0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v>0</v>
      </c>
      <c r="W638" s="2">
        <v>0</v>
      </c>
      <c r="X638" s="2">
        <v>897.6</v>
      </c>
    </row>
    <row r="639" spans="1:24" x14ac:dyDescent="0.25">
      <c r="G639" s="2" t="s">
        <v>1166</v>
      </c>
    </row>
    <row r="640" spans="1:24" x14ac:dyDescent="0.25">
      <c r="A640" s="2">
        <v>317</v>
      </c>
      <c r="B640" s="2">
        <v>2172</v>
      </c>
      <c r="C640" s="2" t="s">
        <v>1167</v>
      </c>
      <c r="D640" s="2" t="s">
        <v>112</v>
      </c>
      <c r="E640" s="2" t="s">
        <v>16</v>
      </c>
      <c r="F640" s="2" t="s">
        <v>1168</v>
      </c>
      <c r="G640" s="2">
        <v>866.8</v>
      </c>
      <c r="H640" s="2">
        <v>0</v>
      </c>
      <c r="I640" s="2">
        <v>0</v>
      </c>
      <c r="J640" s="2">
        <v>0</v>
      </c>
      <c r="K640" s="2">
        <v>0</v>
      </c>
      <c r="L640" s="2">
        <v>0</v>
      </c>
      <c r="M640" s="2">
        <v>30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0</v>
      </c>
      <c r="W640" s="2">
        <v>0</v>
      </c>
      <c r="X640" s="2">
        <v>896.8</v>
      </c>
    </row>
    <row r="641" spans="1:24" x14ac:dyDescent="0.25">
      <c r="G641" s="2" t="s">
        <v>1169</v>
      </c>
    </row>
    <row r="642" spans="1:24" x14ac:dyDescent="0.25">
      <c r="A642" s="2">
        <v>318</v>
      </c>
      <c r="B642" s="2">
        <v>13411</v>
      </c>
      <c r="C642" s="2" t="s">
        <v>1170</v>
      </c>
      <c r="D642" s="2" t="s">
        <v>275</v>
      </c>
      <c r="E642" s="2" t="s">
        <v>1171</v>
      </c>
      <c r="F642" s="2" t="s">
        <v>1172</v>
      </c>
      <c r="G642" s="2">
        <v>866.8</v>
      </c>
      <c r="H642" s="2">
        <v>0</v>
      </c>
      <c r="I642" s="2">
        <v>0</v>
      </c>
      <c r="J642" s="2">
        <v>0</v>
      </c>
      <c r="K642" s="2">
        <v>0</v>
      </c>
      <c r="L642" s="2">
        <v>0</v>
      </c>
      <c r="M642" s="2">
        <v>30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v>0</v>
      </c>
      <c r="W642" s="2">
        <v>0</v>
      </c>
      <c r="X642" s="2">
        <v>896.8</v>
      </c>
    </row>
    <row r="643" spans="1:24" x14ac:dyDescent="0.25">
      <c r="G643" s="2" t="s">
        <v>1173</v>
      </c>
    </row>
    <row r="644" spans="1:24" x14ac:dyDescent="0.25">
      <c r="A644" s="2">
        <v>319</v>
      </c>
      <c r="B644" s="2">
        <v>15095</v>
      </c>
      <c r="C644" s="2" t="s">
        <v>1174</v>
      </c>
      <c r="D644" s="2" t="s">
        <v>1175</v>
      </c>
      <c r="E644" s="2" t="s">
        <v>965</v>
      </c>
      <c r="F644" s="2" t="s">
        <v>1176</v>
      </c>
      <c r="G644" s="2">
        <v>866.8</v>
      </c>
      <c r="H644" s="2">
        <v>0</v>
      </c>
      <c r="I644" s="2">
        <v>0</v>
      </c>
      <c r="J644" s="2">
        <v>0</v>
      </c>
      <c r="K644" s="2">
        <v>0</v>
      </c>
      <c r="L644" s="2">
        <v>0</v>
      </c>
      <c r="M644" s="2">
        <v>30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v>0</v>
      </c>
      <c r="W644" s="2">
        <v>0</v>
      </c>
      <c r="X644" s="2">
        <v>896.8</v>
      </c>
    </row>
    <row r="645" spans="1:24" x14ac:dyDescent="0.25">
      <c r="G645" s="2" t="s">
        <v>1177</v>
      </c>
    </row>
    <row r="646" spans="1:24" x14ac:dyDescent="0.25">
      <c r="A646" s="2">
        <v>320</v>
      </c>
      <c r="B646" s="2">
        <v>6518</v>
      </c>
      <c r="C646" s="2" t="s">
        <v>1178</v>
      </c>
      <c r="D646" s="2" t="s">
        <v>84</v>
      </c>
      <c r="E646" s="2" t="s">
        <v>73</v>
      </c>
      <c r="F646" s="2" t="s">
        <v>1179</v>
      </c>
      <c r="G646" s="2">
        <v>865.7</v>
      </c>
      <c r="H646" s="2">
        <v>0</v>
      </c>
      <c r="I646" s="2">
        <v>0</v>
      </c>
      <c r="J646" s="2">
        <v>0</v>
      </c>
      <c r="K646" s="2">
        <v>0</v>
      </c>
      <c r="L646" s="2">
        <v>0</v>
      </c>
      <c r="M646" s="2">
        <v>30</v>
      </c>
      <c r="N646" s="2">
        <v>0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v>0</v>
      </c>
      <c r="W646" s="2">
        <v>0</v>
      </c>
      <c r="X646" s="2">
        <v>895.7</v>
      </c>
    </row>
    <row r="647" spans="1:24" x14ac:dyDescent="0.25">
      <c r="G647" s="2" t="s">
        <v>1180</v>
      </c>
    </row>
    <row r="648" spans="1:24" x14ac:dyDescent="0.25">
      <c r="A648" s="2">
        <v>321</v>
      </c>
      <c r="B648" s="2">
        <v>11429</v>
      </c>
      <c r="C648" s="2" t="s">
        <v>1181</v>
      </c>
      <c r="D648" s="2" t="s">
        <v>138</v>
      </c>
      <c r="E648" s="2" t="s">
        <v>551</v>
      </c>
      <c r="F648" s="2" t="s">
        <v>1182</v>
      </c>
      <c r="G648" s="2">
        <v>865.7</v>
      </c>
      <c r="H648" s="2">
        <v>0</v>
      </c>
      <c r="I648" s="2">
        <v>0</v>
      </c>
      <c r="J648" s="2">
        <v>0</v>
      </c>
      <c r="K648" s="2">
        <v>0</v>
      </c>
      <c r="L648" s="2">
        <v>0</v>
      </c>
      <c r="M648" s="2">
        <v>30</v>
      </c>
      <c r="N648" s="2">
        <v>0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v>0</v>
      </c>
      <c r="W648" s="2">
        <v>0</v>
      </c>
      <c r="X648" s="2">
        <v>895.7</v>
      </c>
    </row>
    <row r="649" spans="1:24" x14ac:dyDescent="0.25">
      <c r="G649" s="2" t="s">
        <v>1183</v>
      </c>
    </row>
    <row r="650" spans="1:24" x14ac:dyDescent="0.25">
      <c r="A650" s="2">
        <v>322</v>
      </c>
      <c r="B650" s="2">
        <v>4902</v>
      </c>
      <c r="C650" s="2" t="s">
        <v>1184</v>
      </c>
      <c r="D650" s="2" t="s">
        <v>248</v>
      </c>
      <c r="E650" s="2" t="s">
        <v>73</v>
      </c>
      <c r="F650" s="2" t="s">
        <v>1185</v>
      </c>
      <c r="G650" s="2">
        <v>865.7</v>
      </c>
      <c r="H650" s="2">
        <v>0</v>
      </c>
      <c r="I650" s="2">
        <v>0</v>
      </c>
      <c r="J650" s="2">
        <v>0</v>
      </c>
      <c r="K650" s="2">
        <v>0</v>
      </c>
      <c r="L650" s="2">
        <v>0</v>
      </c>
      <c r="M650" s="2">
        <v>30</v>
      </c>
      <c r="N650" s="2">
        <v>0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v>0</v>
      </c>
      <c r="W650" s="2">
        <v>0</v>
      </c>
      <c r="X650" s="2">
        <v>895.7</v>
      </c>
    </row>
    <row r="651" spans="1:24" x14ac:dyDescent="0.25">
      <c r="G651" s="2" t="s">
        <v>1186</v>
      </c>
    </row>
    <row r="652" spans="1:24" x14ac:dyDescent="0.25">
      <c r="A652" s="2">
        <v>323</v>
      </c>
      <c r="B652" s="2">
        <v>8566</v>
      </c>
      <c r="C652" s="2" t="s">
        <v>1187</v>
      </c>
      <c r="D652" s="2" t="s">
        <v>235</v>
      </c>
      <c r="E652" s="2" t="s">
        <v>236</v>
      </c>
      <c r="F652" s="2" t="s">
        <v>1188</v>
      </c>
      <c r="G652" s="2">
        <v>825</v>
      </c>
      <c r="H652" s="2">
        <v>0</v>
      </c>
      <c r="I652" s="2">
        <v>0</v>
      </c>
      <c r="J652" s="2">
        <v>0</v>
      </c>
      <c r="K652" s="2">
        <v>0</v>
      </c>
      <c r="L652" s="2">
        <v>0</v>
      </c>
      <c r="M652" s="2">
        <v>70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v>0</v>
      </c>
      <c r="W652" s="2">
        <v>0</v>
      </c>
      <c r="X652" s="2">
        <v>895</v>
      </c>
    </row>
    <row r="653" spans="1:24" x14ac:dyDescent="0.25">
      <c r="G653" s="2" t="s">
        <v>1189</v>
      </c>
    </row>
    <row r="654" spans="1:24" x14ac:dyDescent="0.25">
      <c r="A654" s="2">
        <v>324</v>
      </c>
      <c r="B654" s="2">
        <v>10059</v>
      </c>
      <c r="C654" s="2" t="s">
        <v>1190</v>
      </c>
      <c r="D654" s="2" t="s">
        <v>284</v>
      </c>
      <c r="E654" s="2" t="s">
        <v>346</v>
      </c>
      <c r="F654" s="2" t="s">
        <v>1191</v>
      </c>
      <c r="G654" s="2">
        <v>864.6</v>
      </c>
      <c r="H654" s="2">
        <v>0</v>
      </c>
      <c r="I654" s="2">
        <v>0</v>
      </c>
      <c r="J654" s="2">
        <v>0</v>
      </c>
      <c r="K654" s="2">
        <v>0</v>
      </c>
      <c r="L654" s="2">
        <v>0</v>
      </c>
      <c r="M654" s="2">
        <v>30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v>0</v>
      </c>
      <c r="W654" s="2">
        <v>0</v>
      </c>
      <c r="X654" s="2">
        <v>894.6</v>
      </c>
    </row>
    <row r="655" spans="1:24" x14ac:dyDescent="0.25">
      <c r="G655" s="2" t="s">
        <v>1192</v>
      </c>
    </row>
    <row r="656" spans="1:24" x14ac:dyDescent="0.25">
      <c r="A656" s="2">
        <v>325</v>
      </c>
      <c r="B656" s="2">
        <v>9470</v>
      </c>
      <c r="C656" s="2" t="s">
        <v>1193</v>
      </c>
      <c r="D656" s="2" t="s">
        <v>365</v>
      </c>
      <c r="E656" s="2" t="s">
        <v>204</v>
      </c>
      <c r="F656" s="2" t="s">
        <v>1194</v>
      </c>
      <c r="G656" s="2">
        <v>823.9</v>
      </c>
      <c r="H656" s="2">
        <v>0</v>
      </c>
      <c r="I656" s="2">
        <v>0</v>
      </c>
      <c r="J656" s="2">
        <v>0</v>
      </c>
      <c r="K656" s="2">
        <v>0</v>
      </c>
      <c r="L656" s="2">
        <v>0</v>
      </c>
      <c r="M656" s="2">
        <v>70</v>
      </c>
      <c r="N656" s="2">
        <v>0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v>0</v>
      </c>
      <c r="W656" s="2">
        <v>0</v>
      </c>
      <c r="X656" s="2">
        <v>893.9</v>
      </c>
    </row>
    <row r="657" spans="1:24" x14ac:dyDescent="0.25">
      <c r="G657" s="2" t="s">
        <v>1195</v>
      </c>
    </row>
    <row r="658" spans="1:24" x14ac:dyDescent="0.25">
      <c r="A658" s="2">
        <v>326</v>
      </c>
      <c r="B658" s="2">
        <v>4986</v>
      </c>
      <c r="C658" s="2" t="s">
        <v>1196</v>
      </c>
      <c r="D658" s="2" t="s">
        <v>634</v>
      </c>
      <c r="E658" s="2" t="s">
        <v>51</v>
      </c>
      <c r="F658" s="2" t="s">
        <v>1197</v>
      </c>
      <c r="G658" s="2">
        <v>863.5</v>
      </c>
      <c r="H658" s="2">
        <v>0</v>
      </c>
      <c r="I658" s="2">
        <v>0</v>
      </c>
      <c r="J658" s="2">
        <v>0</v>
      </c>
      <c r="K658" s="2">
        <v>0</v>
      </c>
      <c r="L658" s="2">
        <v>0</v>
      </c>
      <c r="M658" s="2">
        <v>0</v>
      </c>
      <c r="N658" s="2">
        <v>0</v>
      </c>
      <c r="O658" s="2">
        <v>0</v>
      </c>
      <c r="P658" s="2">
        <v>0</v>
      </c>
      <c r="Q658" s="2">
        <v>0</v>
      </c>
      <c r="R658" s="2">
        <v>30</v>
      </c>
      <c r="S658" s="2">
        <v>0</v>
      </c>
      <c r="T658" s="2">
        <v>0</v>
      </c>
      <c r="U658" s="2">
        <v>0</v>
      </c>
      <c r="W658" s="2">
        <v>0</v>
      </c>
      <c r="X658" s="2">
        <v>893.5</v>
      </c>
    </row>
    <row r="659" spans="1:24" x14ac:dyDescent="0.25">
      <c r="G659" s="2" t="s">
        <v>1198</v>
      </c>
    </row>
    <row r="660" spans="1:24" x14ac:dyDescent="0.25">
      <c r="A660" s="2">
        <v>327</v>
      </c>
      <c r="B660" s="2">
        <v>3847</v>
      </c>
      <c r="C660" s="2" t="s">
        <v>1199</v>
      </c>
      <c r="D660" s="2" t="s">
        <v>248</v>
      </c>
      <c r="E660" s="2" t="s">
        <v>842</v>
      </c>
      <c r="F660" s="2" t="s">
        <v>1200</v>
      </c>
      <c r="G660" s="2">
        <v>863.5</v>
      </c>
      <c r="H660" s="2">
        <v>0</v>
      </c>
      <c r="I660" s="2">
        <v>0</v>
      </c>
      <c r="J660" s="2">
        <v>0</v>
      </c>
      <c r="K660" s="2">
        <v>0</v>
      </c>
      <c r="L660" s="2">
        <v>0</v>
      </c>
      <c r="M660" s="2">
        <v>30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v>0</v>
      </c>
      <c r="W660" s="2">
        <v>0</v>
      </c>
      <c r="X660" s="2">
        <v>893.5</v>
      </c>
    </row>
    <row r="661" spans="1:24" x14ac:dyDescent="0.25">
      <c r="G661" s="2" t="s">
        <v>1201</v>
      </c>
    </row>
    <row r="662" spans="1:24" x14ac:dyDescent="0.25">
      <c r="A662" s="2">
        <v>328</v>
      </c>
      <c r="B662" s="2">
        <v>7597</v>
      </c>
      <c r="C662" s="2" t="s">
        <v>1202</v>
      </c>
      <c r="D662" s="2" t="s">
        <v>248</v>
      </c>
      <c r="E662" s="2" t="s">
        <v>122</v>
      </c>
      <c r="F662" s="2" t="s">
        <v>1203</v>
      </c>
      <c r="G662" s="2">
        <v>893.2</v>
      </c>
      <c r="H662" s="2">
        <v>0</v>
      </c>
      <c r="I662" s="2">
        <v>0</v>
      </c>
      <c r="J662" s="2">
        <v>0</v>
      </c>
      <c r="K662" s="2">
        <v>0</v>
      </c>
      <c r="L662" s="2">
        <v>0</v>
      </c>
      <c r="M662" s="2">
        <v>0</v>
      </c>
      <c r="N662" s="2">
        <v>0</v>
      </c>
      <c r="O662" s="2">
        <v>0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v>0</v>
      </c>
      <c r="W662" s="2">
        <v>0</v>
      </c>
      <c r="X662" s="2">
        <v>893.2</v>
      </c>
    </row>
    <row r="663" spans="1:24" x14ac:dyDescent="0.25">
      <c r="G663" s="2" t="s">
        <v>1204</v>
      </c>
    </row>
    <row r="664" spans="1:24" x14ac:dyDescent="0.25">
      <c r="A664" s="2">
        <v>329</v>
      </c>
      <c r="B664" s="2">
        <v>11068</v>
      </c>
      <c r="C664" s="2" t="s">
        <v>1205</v>
      </c>
      <c r="D664" s="2" t="s">
        <v>1206</v>
      </c>
      <c r="E664" s="2" t="s">
        <v>456</v>
      </c>
      <c r="F664" s="2" t="s">
        <v>1207</v>
      </c>
      <c r="G664" s="2">
        <v>842.6</v>
      </c>
      <c r="H664" s="2">
        <v>0</v>
      </c>
      <c r="I664" s="2">
        <v>0</v>
      </c>
      <c r="J664" s="2">
        <v>0</v>
      </c>
      <c r="K664" s="2">
        <v>0</v>
      </c>
      <c r="L664" s="2">
        <v>0</v>
      </c>
      <c r="M664" s="2">
        <v>50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v>0</v>
      </c>
      <c r="W664" s="2">
        <v>0</v>
      </c>
      <c r="X664" s="2">
        <v>892.6</v>
      </c>
    </row>
    <row r="665" spans="1:24" x14ac:dyDescent="0.25">
      <c r="G665" s="2" t="s">
        <v>1208</v>
      </c>
    </row>
    <row r="666" spans="1:24" x14ac:dyDescent="0.25">
      <c r="A666" s="2">
        <v>330</v>
      </c>
      <c r="B666" s="2">
        <v>2513</v>
      </c>
      <c r="C666" s="2" t="s">
        <v>1209</v>
      </c>
      <c r="D666" s="2" t="s">
        <v>264</v>
      </c>
      <c r="E666" s="2" t="s">
        <v>127</v>
      </c>
      <c r="F666" s="2" t="s">
        <v>1210</v>
      </c>
      <c r="G666" s="2">
        <v>862.4</v>
      </c>
      <c r="H666" s="2">
        <v>0</v>
      </c>
      <c r="I666" s="2">
        <v>0</v>
      </c>
      <c r="J666" s="2">
        <v>0</v>
      </c>
      <c r="K666" s="2">
        <v>0</v>
      </c>
      <c r="L666" s="2">
        <v>0</v>
      </c>
      <c r="M666" s="2">
        <v>30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v>0</v>
      </c>
      <c r="W666" s="2">
        <v>0</v>
      </c>
      <c r="X666" s="2">
        <v>892.4</v>
      </c>
    </row>
    <row r="667" spans="1:24" x14ac:dyDescent="0.25">
      <c r="G667" s="2" t="s">
        <v>1211</v>
      </c>
    </row>
    <row r="668" spans="1:24" x14ac:dyDescent="0.25">
      <c r="A668" s="2">
        <v>331</v>
      </c>
      <c r="B668" s="2">
        <v>6556</v>
      </c>
      <c r="C668" s="2" t="s">
        <v>1212</v>
      </c>
      <c r="D668" s="2" t="s">
        <v>73</v>
      </c>
      <c r="E668" s="2" t="s">
        <v>148</v>
      </c>
      <c r="F668" s="2" t="s">
        <v>1213</v>
      </c>
      <c r="G668" s="2">
        <v>862.4</v>
      </c>
      <c r="H668" s="2">
        <v>0</v>
      </c>
      <c r="I668" s="2">
        <v>0</v>
      </c>
      <c r="J668" s="2">
        <v>0</v>
      </c>
      <c r="K668" s="2">
        <v>0</v>
      </c>
      <c r="L668" s="2">
        <v>0</v>
      </c>
      <c r="M668" s="2">
        <v>30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v>0</v>
      </c>
      <c r="W668" s="2">
        <v>0</v>
      </c>
      <c r="X668" s="2">
        <v>892.4</v>
      </c>
    </row>
    <row r="669" spans="1:24" x14ac:dyDescent="0.25">
      <c r="G669" s="2" t="s">
        <v>1214</v>
      </c>
    </row>
    <row r="670" spans="1:24" x14ac:dyDescent="0.25">
      <c r="A670" s="2">
        <v>332</v>
      </c>
      <c r="B670" s="2">
        <v>8867</v>
      </c>
      <c r="C670" s="2" t="s">
        <v>1215</v>
      </c>
      <c r="D670" s="2" t="s">
        <v>1216</v>
      </c>
      <c r="E670" s="2" t="s">
        <v>51</v>
      </c>
      <c r="F670" s="2" t="s">
        <v>1217</v>
      </c>
      <c r="G670" s="2">
        <v>792</v>
      </c>
      <c r="H670" s="2">
        <v>0</v>
      </c>
      <c r="I670" s="2">
        <v>0</v>
      </c>
      <c r="J670" s="2">
        <v>0</v>
      </c>
      <c r="K670" s="2">
        <v>0</v>
      </c>
      <c r="L670" s="2">
        <v>100</v>
      </c>
      <c r="M670" s="2">
        <v>0</v>
      </c>
      <c r="N670" s="2">
        <v>0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v>0</v>
      </c>
      <c r="W670" s="2">
        <v>0</v>
      </c>
      <c r="X670" s="2">
        <v>892</v>
      </c>
    </row>
    <row r="671" spans="1:24" x14ac:dyDescent="0.25">
      <c r="G671" s="2" t="s">
        <v>1218</v>
      </c>
    </row>
    <row r="672" spans="1:24" x14ac:dyDescent="0.25">
      <c r="A672" s="2">
        <v>333</v>
      </c>
      <c r="B672" s="2">
        <v>2999</v>
      </c>
      <c r="C672" s="2" t="s">
        <v>1219</v>
      </c>
      <c r="D672" s="2" t="s">
        <v>1220</v>
      </c>
      <c r="E672" s="2" t="s">
        <v>1221</v>
      </c>
      <c r="F672" s="2" t="s">
        <v>1222</v>
      </c>
      <c r="G672" s="2">
        <v>821.7</v>
      </c>
      <c r="H672" s="2">
        <v>0</v>
      </c>
      <c r="I672" s="2">
        <v>0</v>
      </c>
      <c r="J672" s="2">
        <v>0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70</v>
      </c>
      <c r="T672" s="2">
        <v>0</v>
      </c>
      <c r="U672" s="2">
        <v>0</v>
      </c>
      <c r="W672" s="2">
        <v>0</v>
      </c>
      <c r="X672" s="2">
        <v>891.7</v>
      </c>
    </row>
    <row r="673" spans="1:24" x14ac:dyDescent="0.25">
      <c r="G673" s="2" t="s">
        <v>1223</v>
      </c>
    </row>
    <row r="674" spans="1:24" x14ac:dyDescent="0.25">
      <c r="A674" s="2">
        <v>334</v>
      </c>
      <c r="B674" s="2">
        <v>8094</v>
      </c>
      <c r="C674" s="2" t="s">
        <v>1224</v>
      </c>
      <c r="D674" s="2" t="s">
        <v>1225</v>
      </c>
      <c r="E674" s="2" t="s">
        <v>194</v>
      </c>
      <c r="F674" s="2" t="s">
        <v>1226</v>
      </c>
      <c r="G674" s="2">
        <v>821.7</v>
      </c>
      <c r="H674" s="2">
        <v>0</v>
      </c>
      <c r="I674" s="2">
        <v>0</v>
      </c>
      <c r="J674" s="2">
        <v>0</v>
      </c>
      <c r="K674" s="2">
        <v>0</v>
      </c>
      <c r="L674" s="2">
        <v>0</v>
      </c>
      <c r="M674" s="2">
        <v>70</v>
      </c>
      <c r="N674" s="2">
        <v>0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v>0</v>
      </c>
      <c r="W674" s="2">
        <v>0</v>
      </c>
      <c r="X674" s="2">
        <v>891.7</v>
      </c>
    </row>
    <row r="675" spans="1:24" x14ac:dyDescent="0.25">
      <c r="G675" s="2" t="s">
        <v>1227</v>
      </c>
    </row>
    <row r="676" spans="1:24" x14ac:dyDescent="0.25">
      <c r="A676" s="2">
        <v>335</v>
      </c>
      <c r="B676" s="2">
        <v>13192</v>
      </c>
      <c r="C676" s="2" t="s">
        <v>1228</v>
      </c>
      <c r="D676" s="2" t="s">
        <v>1229</v>
      </c>
      <c r="E676" s="2" t="s">
        <v>39</v>
      </c>
      <c r="F676" s="2" t="s">
        <v>1230</v>
      </c>
      <c r="G676" s="2">
        <v>841.5</v>
      </c>
      <c r="H676" s="2">
        <v>0</v>
      </c>
      <c r="I676" s="2">
        <v>0</v>
      </c>
      <c r="J676" s="2">
        <v>0</v>
      </c>
      <c r="K676" s="2">
        <v>0</v>
      </c>
      <c r="L676" s="2">
        <v>0</v>
      </c>
      <c r="M676" s="2">
        <v>50</v>
      </c>
      <c r="N676" s="2">
        <v>0</v>
      </c>
      <c r="O676" s="2">
        <v>0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v>0</v>
      </c>
      <c r="W676" s="2">
        <v>0</v>
      </c>
      <c r="X676" s="2">
        <v>891.5</v>
      </c>
    </row>
    <row r="677" spans="1:24" x14ac:dyDescent="0.25">
      <c r="G677" s="2" t="s">
        <v>1231</v>
      </c>
    </row>
    <row r="678" spans="1:24" x14ac:dyDescent="0.25">
      <c r="A678" s="2">
        <v>336</v>
      </c>
      <c r="B678" s="2">
        <v>7601</v>
      </c>
      <c r="C678" s="2" t="s">
        <v>1232</v>
      </c>
      <c r="D678" s="2" t="s">
        <v>16</v>
      </c>
      <c r="E678" s="2" t="s">
        <v>73</v>
      </c>
      <c r="F678" s="2" t="s">
        <v>1233</v>
      </c>
      <c r="G678" s="2">
        <v>841.5</v>
      </c>
      <c r="H678" s="2">
        <v>0</v>
      </c>
      <c r="I678" s="2">
        <v>0</v>
      </c>
      <c r="J678" s="2">
        <v>0</v>
      </c>
      <c r="K678" s="2">
        <v>0</v>
      </c>
      <c r="L678" s="2">
        <v>0</v>
      </c>
      <c r="M678" s="2">
        <v>50</v>
      </c>
      <c r="N678" s="2">
        <v>0</v>
      </c>
      <c r="O678" s="2">
        <v>0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v>0</v>
      </c>
      <c r="W678" s="2">
        <v>0</v>
      </c>
      <c r="X678" s="2">
        <v>891.5</v>
      </c>
    </row>
    <row r="679" spans="1:24" x14ac:dyDescent="0.25">
      <c r="G679" s="2" t="s">
        <v>1234</v>
      </c>
    </row>
    <row r="680" spans="1:24" x14ac:dyDescent="0.25">
      <c r="A680" s="2">
        <v>337</v>
      </c>
      <c r="B680" s="2">
        <v>3743</v>
      </c>
      <c r="C680" s="2" t="s">
        <v>1235</v>
      </c>
      <c r="D680" s="2" t="s">
        <v>755</v>
      </c>
      <c r="E680" s="2" t="s">
        <v>84</v>
      </c>
      <c r="F680" s="2" t="s">
        <v>1236</v>
      </c>
      <c r="G680" s="2">
        <v>861.3</v>
      </c>
      <c r="H680" s="2">
        <v>0</v>
      </c>
      <c r="I680" s="2">
        <v>0</v>
      </c>
      <c r="J680" s="2">
        <v>0</v>
      </c>
      <c r="K680" s="2">
        <v>0</v>
      </c>
      <c r="L680" s="2">
        <v>0</v>
      </c>
      <c r="M680" s="2">
        <v>30</v>
      </c>
      <c r="N680" s="2">
        <v>0</v>
      </c>
      <c r="O680" s="2">
        <v>0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v>0</v>
      </c>
      <c r="W680" s="2">
        <v>1</v>
      </c>
      <c r="X680" s="2">
        <v>891.3</v>
      </c>
    </row>
    <row r="681" spans="1:24" x14ac:dyDescent="0.25">
      <c r="G681" s="2" t="s">
        <v>1237</v>
      </c>
    </row>
    <row r="682" spans="1:24" x14ac:dyDescent="0.25">
      <c r="A682" s="2">
        <v>338</v>
      </c>
      <c r="B682" s="2">
        <v>11284</v>
      </c>
      <c r="C682" s="2" t="s">
        <v>1238</v>
      </c>
      <c r="D682" s="2" t="s">
        <v>256</v>
      </c>
      <c r="E682" s="2" t="s">
        <v>39</v>
      </c>
      <c r="F682" s="2" t="s">
        <v>1239</v>
      </c>
      <c r="G682" s="2">
        <v>861.3</v>
      </c>
      <c r="H682" s="2">
        <v>0</v>
      </c>
      <c r="I682" s="2">
        <v>0</v>
      </c>
      <c r="J682" s="2">
        <v>0</v>
      </c>
      <c r="K682" s="2">
        <v>0</v>
      </c>
      <c r="L682" s="2">
        <v>0</v>
      </c>
      <c r="M682" s="2">
        <v>30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v>0</v>
      </c>
      <c r="W682" s="2">
        <v>0</v>
      </c>
      <c r="X682" s="2">
        <v>891.3</v>
      </c>
    </row>
    <row r="683" spans="1:24" x14ac:dyDescent="0.25">
      <c r="G683" s="2" t="s">
        <v>1240</v>
      </c>
    </row>
    <row r="684" spans="1:24" x14ac:dyDescent="0.25">
      <c r="A684" s="2">
        <v>339</v>
      </c>
      <c r="B684" s="2">
        <v>13157</v>
      </c>
      <c r="C684" s="2" t="s">
        <v>1241</v>
      </c>
      <c r="D684" s="2" t="s">
        <v>1242</v>
      </c>
      <c r="E684" s="2" t="s">
        <v>73</v>
      </c>
      <c r="F684" s="2" t="s">
        <v>1243</v>
      </c>
      <c r="G684" s="2">
        <v>891</v>
      </c>
      <c r="H684" s="2">
        <v>0</v>
      </c>
      <c r="I684" s="2">
        <v>0</v>
      </c>
      <c r="J684" s="2">
        <v>0</v>
      </c>
      <c r="K684" s="2">
        <v>0</v>
      </c>
      <c r="L684" s="2">
        <v>0</v>
      </c>
      <c r="M684" s="2">
        <v>0</v>
      </c>
      <c r="N684" s="2">
        <v>0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v>0</v>
      </c>
      <c r="W684" s="2">
        <v>2</v>
      </c>
      <c r="X684" s="2">
        <v>891</v>
      </c>
    </row>
    <row r="685" spans="1:24" x14ac:dyDescent="0.25">
      <c r="G685" s="2" t="s">
        <v>1244</v>
      </c>
    </row>
    <row r="686" spans="1:24" x14ac:dyDescent="0.25">
      <c r="A686" s="2">
        <v>340</v>
      </c>
      <c r="B686" s="2">
        <v>9637</v>
      </c>
      <c r="C686" s="2" t="s">
        <v>1245</v>
      </c>
      <c r="D686" s="2" t="s">
        <v>112</v>
      </c>
      <c r="E686" s="2" t="s">
        <v>1246</v>
      </c>
      <c r="F686" s="2" t="s">
        <v>1247</v>
      </c>
      <c r="G686" s="2">
        <v>820.6</v>
      </c>
      <c r="H686" s="2">
        <v>0</v>
      </c>
      <c r="I686" s="2">
        <v>0</v>
      </c>
      <c r="J686" s="2">
        <v>0</v>
      </c>
      <c r="K686" s="2">
        <v>0</v>
      </c>
      <c r="L686" s="2">
        <v>0</v>
      </c>
      <c r="M686" s="2">
        <v>70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v>0</v>
      </c>
      <c r="W686" s="2">
        <v>1</v>
      </c>
      <c r="X686" s="2">
        <v>890.6</v>
      </c>
    </row>
    <row r="687" spans="1:24" x14ac:dyDescent="0.25">
      <c r="G687" s="2" t="s">
        <v>1248</v>
      </c>
    </row>
    <row r="688" spans="1:24" x14ac:dyDescent="0.25">
      <c r="A688" s="2">
        <v>341</v>
      </c>
      <c r="B688" s="2">
        <v>7265</v>
      </c>
      <c r="C688" s="2" t="s">
        <v>1249</v>
      </c>
      <c r="D688" s="2" t="s">
        <v>399</v>
      </c>
      <c r="E688" s="2" t="s">
        <v>346</v>
      </c>
      <c r="F688" s="2" t="s">
        <v>1250</v>
      </c>
      <c r="G688" s="2">
        <v>860.2</v>
      </c>
      <c r="H688" s="2">
        <v>0</v>
      </c>
      <c r="I688" s="2">
        <v>0</v>
      </c>
      <c r="J688" s="2">
        <v>0</v>
      </c>
      <c r="K688" s="2">
        <v>0</v>
      </c>
      <c r="L688" s="2">
        <v>0</v>
      </c>
      <c r="M688" s="2">
        <v>30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v>0</v>
      </c>
      <c r="W688" s="2">
        <v>0</v>
      </c>
      <c r="X688" s="2">
        <v>890.2</v>
      </c>
    </row>
    <row r="689" spans="1:24" x14ac:dyDescent="0.25">
      <c r="G689" s="2" t="s">
        <v>1251</v>
      </c>
    </row>
    <row r="690" spans="1:24" x14ac:dyDescent="0.25">
      <c r="A690" s="2">
        <v>342</v>
      </c>
      <c r="B690" s="2">
        <v>2233</v>
      </c>
      <c r="C690" s="2" t="s">
        <v>1252</v>
      </c>
      <c r="D690" s="2" t="s">
        <v>235</v>
      </c>
      <c r="E690" s="2" t="s">
        <v>144</v>
      </c>
      <c r="F690" s="2" t="s">
        <v>1253</v>
      </c>
      <c r="G690" s="2">
        <v>839.3</v>
      </c>
      <c r="H690" s="2">
        <v>0</v>
      </c>
      <c r="I690" s="2">
        <v>0</v>
      </c>
      <c r="J690" s="2">
        <v>0</v>
      </c>
      <c r="K690" s="2">
        <v>0</v>
      </c>
      <c r="L690" s="2">
        <v>0</v>
      </c>
      <c r="M690" s="2">
        <v>50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v>0</v>
      </c>
      <c r="W690" s="2">
        <v>0</v>
      </c>
      <c r="X690" s="2">
        <v>889.3</v>
      </c>
    </row>
    <row r="691" spans="1:24" x14ac:dyDescent="0.25">
      <c r="G691" s="2" t="s">
        <v>1254</v>
      </c>
    </row>
    <row r="692" spans="1:24" x14ac:dyDescent="0.25">
      <c r="A692" s="2">
        <v>343</v>
      </c>
      <c r="B692" s="2">
        <v>3989</v>
      </c>
      <c r="C692" s="2" t="s">
        <v>369</v>
      </c>
      <c r="D692" s="2" t="s">
        <v>170</v>
      </c>
      <c r="E692" s="2" t="s">
        <v>1255</v>
      </c>
      <c r="F692" s="2" t="s">
        <v>1256</v>
      </c>
      <c r="G692" s="2">
        <v>859.1</v>
      </c>
      <c r="H692" s="2">
        <v>0</v>
      </c>
      <c r="I692" s="2">
        <v>0</v>
      </c>
      <c r="J692" s="2">
        <v>0</v>
      </c>
      <c r="K692" s="2">
        <v>0</v>
      </c>
      <c r="L692" s="2">
        <v>0</v>
      </c>
      <c r="M692" s="2">
        <v>30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v>0</v>
      </c>
      <c r="W692" s="2">
        <v>0</v>
      </c>
      <c r="X692" s="2">
        <v>889.1</v>
      </c>
    </row>
    <row r="693" spans="1:24" x14ac:dyDescent="0.25">
      <c r="G693" s="2" t="s">
        <v>1257</v>
      </c>
    </row>
    <row r="694" spans="1:24" x14ac:dyDescent="0.25">
      <c r="A694" s="2">
        <v>344</v>
      </c>
      <c r="B694" s="2">
        <v>2934</v>
      </c>
      <c r="C694" s="2" t="s">
        <v>1258</v>
      </c>
      <c r="D694" s="2" t="s">
        <v>1259</v>
      </c>
      <c r="E694" s="2" t="s">
        <v>113</v>
      </c>
      <c r="F694" s="2" t="s">
        <v>1260</v>
      </c>
      <c r="G694" s="2">
        <v>859.1</v>
      </c>
      <c r="H694" s="2">
        <v>0</v>
      </c>
      <c r="I694" s="2">
        <v>0</v>
      </c>
      <c r="J694" s="2">
        <v>0</v>
      </c>
      <c r="K694" s="2">
        <v>0</v>
      </c>
      <c r="L694" s="2">
        <v>0</v>
      </c>
      <c r="M694" s="2">
        <v>30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v>0</v>
      </c>
      <c r="W694" s="2">
        <v>0</v>
      </c>
      <c r="X694" s="2">
        <v>889.1</v>
      </c>
    </row>
    <row r="695" spans="1:24" x14ac:dyDescent="0.25">
      <c r="G695" s="2" t="s">
        <v>1261</v>
      </c>
    </row>
    <row r="696" spans="1:24" x14ac:dyDescent="0.25">
      <c r="A696" s="2">
        <v>345</v>
      </c>
      <c r="B696" s="2">
        <v>14958</v>
      </c>
      <c r="C696" s="2" t="s">
        <v>1262</v>
      </c>
      <c r="D696" s="2" t="s">
        <v>1263</v>
      </c>
      <c r="E696" s="2" t="s">
        <v>1264</v>
      </c>
      <c r="F696" s="2" t="s">
        <v>1265</v>
      </c>
      <c r="G696" s="2">
        <v>888.8</v>
      </c>
      <c r="H696" s="2">
        <v>0</v>
      </c>
      <c r="I696" s="2">
        <v>0</v>
      </c>
      <c r="J696" s="2">
        <v>0</v>
      </c>
      <c r="K696" s="2">
        <v>0</v>
      </c>
      <c r="L696" s="2">
        <v>0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v>0</v>
      </c>
      <c r="W696" s="2">
        <v>2</v>
      </c>
      <c r="X696" s="2">
        <v>888.8</v>
      </c>
    </row>
    <row r="697" spans="1:24" x14ac:dyDescent="0.25">
      <c r="G697" s="2" t="s">
        <v>1266</v>
      </c>
    </row>
    <row r="698" spans="1:24" x14ac:dyDescent="0.25">
      <c r="A698" s="2">
        <v>346</v>
      </c>
      <c r="B698" s="2">
        <v>13200</v>
      </c>
      <c r="C698" s="2" t="s">
        <v>1267</v>
      </c>
      <c r="D698" s="2" t="s">
        <v>38</v>
      </c>
      <c r="E698" s="2" t="s">
        <v>45</v>
      </c>
      <c r="F698" s="2" t="s">
        <v>1268</v>
      </c>
      <c r="G698" s="2">
        <v>858</v>
      </c>
      <c r="H698" s="2">
        <v>0</v>
      </c>
      <c r="I698" s="2">
        <v>0</v>
      </c>
      <c r="J698" s="2">
        <v>0</v>
      </c>
      <c r="K698" s="2">
        <v>0</v>
      </c>
      <c r="L698" s="2">
        <v>0</v>
      </c>
      <c r="M698" s="2">
        <v>0</v>
      </c>
      <c r="N698" s="2">
        <v>30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v>0</v>
      </c>
      <c r="W698" s="2">
        <v>2</v>
      </c>
      <c r="X698" s="2">
        <v>888</v>
      </c>
    </row>
    <row r="699" spans="1:24" x14ac:dyDescent="0.25">
      <c r="G699" s="2" t="s">
        <v>1269</v>
      </c>
    </row>
    <row r="700" spans="1:24" x14ac:dyDescent="0.25">
      <c r="A700" s="2">
        <v>347</v>
      </c>
      <c r="B700" s="2">
        <v>14922</v>
      </c>
      <c r="C700" s="2" t="s">
        <v>1270</v>
      </c>
      <c r="D700" s="2" t="s">
        <v>90</v>
      </c>
      <c r="E700" s="2" t="s">
        <v>51</v>
      </c>
      <c r="F700" s="2" t="s">
        <v>1271</v>
      </c>
      <c r="G700" s="2">
        <v>858</v>
      </c>
      <c r="H700" s="2">
        <v>0</v>
      </c>
      <c r="I700" s="2">
        <v>0</v>
      </c>
      <c r="J700" s="2">
        <v>0</v>
      </c>
      <c r="K700" s="2">
        <v>0</v>
      </c>
      <c r="L700" s="2">
        <v>0</v>
      </c>
      <c r="M700" s="2">
        <v>30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v>0</v>
      </c>
      <c r="W700" s="2">
        <v>0</v>
      </c>
      <c r="X700" s="2">
        <v>888</v>
      </c>
    </row>
    <row r="701" spans="1:24" x14ac:dyDescent="0.25">
      <c r="G701" s="2" t="s">
        <v>1272</v>
      </c>
    </row>
    <row r="702" spans="1:24" x14ac:dyDescent="0.25">
      <c r="A702" s="2">
        <v>348</v>
      </c>
      <c r="B702" s="2">
        <v>634</v>
      </c>
      <c r="C702" s="2" t="s">
        <v>1273</v>
      </c>
      <c r="D702" s="2" t="s">
        <v>94</v>
      </c>
      <c r="E702" s="2" t="s">
        <v>39</v>
      </c>
      <c r="F702" s="2" t="s">
        <v>1274</v>
      </c>
      <c r="G702" s="2">
        <v>858</v>
      </c>
      <c r="H702" s="2">
        <v>0</v>
      </c>
      <c r="I702" s="2">
        <v>0</v>
      </c>
      <c r="J702" s="2">
        <v>0</v>
      </c>
      <c r="K702" s="2">
        <v>0</v>
      </c>
      <c r="L702" s="2">
        <v>0</v>
      </c>
      <c r="M702" s="2">
        <v>30</v>
      </c>
      <c r="N702" s="2">
        <v>0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v>0</v>
      </c>
      <c r="W702" s="2">
        <v>0</v>
      </c>
      <c r="X702" s="2">
        <v>888</v>
      </c>
    </row>
    <row r="703" spans="1:24" x14ac:dyDescent="0.25">
      <c r="G703" s="2" t="s">
        <v>1275</v>
      </c>
    </row>
    <row r="704" spans="1:24" x14ac:dyDescent="0.25">
      <c r="A704" s="2">
        <v>349</v>
      </c>
      <c r="B704" s="2">
        <v>3972</v>
      </c>
      <c r="C704" s="2" t="s">
        <v>1276</v>
      </c>
      <c r="D704" s="2" t="s">
        <v>1277</v>
      </c>
      <c r="E704" s="2" t="s">
        <v>1278</v>
      </c>
      <c r="F704" s="2" t="s">
        <v>1279</v>
      </c>
      <c r="G704" s="2">
        <v>858</v>
      </c>
      <c r="H704" s="2">
        <v>0</v>
      </c>
      <c r="I704" s="2">
        <v>0</v>
      </c>
      <c r="J704" s="2">
        <v>0</v>
      </c>
      <c r="K704" s="2">
        <v>0</v>
      </c>
      <c r="L704" s="2">
        <v>0</v>
      </c>
      <c r="M704" s="2">
        <v>30</v>
      </c>
      <c r="N704" s="2">
        <v>0</v>
      </c>
      <c r="O704" s="2">
        <v>0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v>0</v>
      </c>
      <c r="W704" s="2">
        <v>0</v>
      </c>
      <c r="X704" s="2">
        <v>888</v>
      </c>
    </row>
    <row r="705" spans="1:24" x14ac:dyDescent="0.25">
      <c r="G705" s="2" t="s">
        <v>1280</v>
      </c>
    </row>
    <row r="706" spans="1:24" x14ac:dyDescent="0.25">
      <c r="A706" s="2">
        <v>350</v>
      </c>
      <c r="B706" s="2">
        <v>9256</v>
      </c>
      <c r="C706" s="2" t="s">
        <v>1281</v>
      </c>
      <c r="D706" s="2" t="s">
        <v>1282</v>
      </c>
      <c r="E706" s="2" t="s">
        <v>551</v>
      </c>
      <c r="F706" s="2" t="s">
        <v>1283</v>
      </c>
      <c r="G706" s="2">
        <v>858</v>
      </c>
      <c r="H706" s="2">
        <v>0</v>
      </c>
      <c r="I706" s="2">
        <v>0</v>
      </c>
      <c r="J706" s="2">
        <v>0</v>
      </c>
      <c r="K706" s="2">
        <v>0</v>
      </c>
      <c r="L706" s="2">
        <v>0</v>
      </c>
      <c r="M706" s="2">
        <v>30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v>0</v>
      </c>
      <c r="W706" s="2">
        <v>1</v>
      </c>
      <c r="X706" s="2">
        <v>888</v>
      </c>
    </row>
    <row r="707" spans="1:24" x14ac:dyDescent="0.25">
      <c r="G707" s="2" t="s">
        <v>1284</v>
      </c>
    </row>
    <row r="708" spans="1:24" x14ac:dyDescent="0.25">
      <c r="A708" s="2">
        <v>351</v>
      </c>
      <c r="B708" s="2">
        <v>12536</v>
      </c>
      <c r="C708" s="2" t="s">
        <v>1285</v>
      </c>
      <c r="D708" s="2" t="s">
        <v>1286</v>
      </c>
      <c r="E708" s="2" t="s">
        <v>73</v>
      </c>
      <c r="F708" s="2" t="s">
        <v>1287</v>
      </c>
      <c r="G708" s="2">
        <v>817.3</v>
      </c>
      <c r="H708" s="2">
        <v>0</v>
      </c>
      <c r="I708" s="2">
        <v>0</v>
      </c>
      <c r="J708" s="2">
        <v>0</v>
      </c>
      <c r="K708" s="2">
        <v>0</v>
      </c>
      <c r="L708" s="2">
        <v>0</v>
      </c>
      <c r="M708" s="2">
        <v>70</v>
      </c>
      <c r="N708" s="2">
        <v>0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v>0</v>
      </c>
      <c r="W708" s="2">
        <v>0</v>
      </c>
      <c r="X708" s="2">
        <v>887.3</v>
      </c>
    </row>
    <row r="709" spans="1:24" x14ac:dyDescent="0.25">
      <c r="G709" s="2" t="s">
        <v>1288</v>
      </c>
    </row>
    <row r="710" spans="1:24" x14ac:dyDescent="0.25">
      <c r="A710" s="2">
        <v>352</v>
      </c>
      <c r="B710" s="2">
        <v>10839</v>
      </c>
      <c r="C710" s="2" t="s">
        <v>1289</v>
      </c>
      <c r="D710" s="2" t="s">
        <v>1290</v>
      </c>
      <c r="E710" s="2" t="s">
        <v>51</v>
      </c>
      <c r="F710" s="2" t="s">
        <v>1291</v>
      </c>
      <c r="G710" s="2">
        <v>856.9</v>
      </c>
      <c r="H710" s="2">
        <v>0</v>
      </c>
      <c r="I710" s="2">
        <v>0</v>
      </c>
      <c r="J710" s="2">
        <v>0</v>
      </c>
      <c r="K710" s="2">
        <v>0</v>
      </c>
      <c r="L710" s="2">
        <v>0</v>
      </c>
      <c r="M710" s="2">
        <v>30</v>
      </c>
      <c r="N710" s="2">
        <v>0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v>0</v>
      </c>
      <c r="W710" s="2">
        <v>0</v>
      </c>
      <c r="X710" s="2">
        <v>886.9</v>
      </c>
    </row>
    <row r="711" spans="1:24" x14ac:dyDescent="0.25">
      <c r="G711" s="2" t="s">
        <v>1292</v>
      </c>
    </row>
    <row r="712" spans="1:24" x14ac:dyDescent="0.25">
      <c r="A712" s="2">
        <v>353</v>
      </c>
      <c r="B712" s="2">
        <v>10750</v>
      </c>
      <c r="C712" s="2" t="s">
        <v>1293</v>
      </c>
      <c r="D712" s="2" t="s">
        <v>284</v>
      </c>
      <c r="E712" s="2" t="s">
        <v>73</v>
      </c>
      <c r="F712" s="2" t="s">
        <v>1294</v>
      </c>
      <c r="G712" s="2">
        <v>886.6</v>
      </c>
      <c r="H712" s="2">
        <v>0</v>
      </c>
      <c r="I712" s="2">
        <v>0</v>
      </c>
      <c r="J712" s="2">
        <v>0</v>
      </c>
      <c r="K712" s="2">
        <v>0</v>
      </c>
      <c r="L712" s="2">
        <v>0</v>
      </c>
      <c r="M712" s="2">
        <v>0</v>
      </c>
      <c r="N712" s="2">
        <v>0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v>0</v>
      </c>
      <c r="W712" s="2">
        <v>0</v>
      </c>
      <c r="X712" s="2">
        <v>886.6</v>
      </c>
    </row>
    <row r="713" spans="1:24" x14ac:dyDescent="0.25">
      <c r="G713" s="2" t="s">
        <v>1295</v>
      </c>
    </row>
    <row r="714" spans="1:24" x14ac:dyDescent="0.25">
      <c r="A714" s="2">
        <v>354</v>
      </c>
      <c r="B714" s="2">
        <v>13876</v>
      </c>
      <c r="C714" s="2" t="s">
        <v>1296</v>
      </c>
      <c r="D714" s="2" t="s">
        <v>1297</v>
      </c>
      <c r="E714" s="2" t="s">
        <v>90</v>
      </c>
      <c r="F714" s="2" t="s">
        <v>1298</v>
      </c>
      <c r="G714" s="2">
        <v>886.6</v>
      </c>
      <c r="H714" s="2">
        <v>0</v>
      </c>
      <c r="I714" s="2">
        <v>0</v>
      </c>
      <c r="J714" s="2">
        <v>0</v>
      </c>
      <c r="K714" s="2">
        <v>0</v>
      </c>
      <c r="L714" s="2">
        <v>0</v>
      </c>
      <c r="M714" s="2">
        <v>0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v>0</v>
      </c>
      <c r="W714" s="2">
        <v>0</v>
      </c>
      <c r="X714" s="2">
        <v>886.6</v>
      </c>
    </row>
    <row r="715" spans="1:24" x14ac:dyDescent="0.25">
      <c r="G715" s="2" t="s">
        <v>1299</v>
      </c>
    </row>
    <row r="716" spans="1:24" x14ac:dyDescent="0.25">
      <c r="A716" s="2">
        <v>355</v>
      </c>
      <c r="B716" s="2">
        <v>12940</v>
      </c>
      <c r="C716" s="2" t="s">
        <v>1300</v>
      </c>
      <c r="D716" s="2" t="s">
        <v>107</v>
      </c>
      <c r="E716" s="2" t="s">
        <v>39</v>
      </c>
      <c r="F716" s="2" t="s">
        <v>1301</v>
      </c>
      <c r="G716" s="2">
        <v>816.2</v>
      </c>
      <c r="H716" s="2">
        <v>0</v>
      </c>
      <c r="I716" s="2">
        <v>0</v>
      </c>
      <c r="J716" s="2">
        <v>0</v>
      </c>
      <c r="K716" s="2">
        <v>0</v>
      </c>
      <c r="L716" s="2">
        <v>0</v>
      </c>
      <c r="M716" s="2">
        <v>70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v>0</v>
      </c>
      <c r="W716" s="2">
        <v>0</v>
      </c>
      <c r="X716" s="2">
        <v>886.2</v>
      </c>
    </row>
    <row r="717" spans="1:24" x14ac:dyDescent="0.25">
      <c r="G717" s="2" t="s">
        <v>1302</v>
      </c>
    </row>
    <row r="718" spans="1:24" x14ac:dyDescent="0.25">
      <c r="A718" s="2">
        <v>356</v>
      </c>
      <c r="B718" s="2">
        <v>12023</v>
      </c>
      <c r="C718" s="2" t="s">
        <v>1303</v>
      </c>
      <c r="D718" s="2" t="s">
        <v>264</v>
      </c>
      <c r="E718" s="2" t="s">
        <v>51</v>
      </c>
      <c r="F718" s="2" t="s">
        <v>1304</v>
      </c>
      <c r="G718" s="2">
        <v>816.2</v>
      </c>
      <c r="H718" s="2">
        <v>0</v>
      </c>
      <c r="I718" s="2">
        <v>0</v>
      </c>
      <c r="J718" s="2">
        <v>0</v>
      </c>
      <c r="K718" s="2">
        <v>0</v>
      </c>
      <c r="L718" s="2">
        <v>0</v>
      </c>
      <c r="M718" s="2">
        <v>70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v>0</v>
      </c>
      <c r="W718" s="2">
        <v>0</v>
      </c>
      <c r="X718" s="2">
        <v>886.2</v>
      </c>
    </row>
    <row r="719" spans="1:24" x14ac:dyDescent="0.25">
      <c r="G719" s="2" t="s">
        <v>1305</v>
      </c>
    </row>
    <row r="720" spans="1:24" x14ac:dyDescent="0.25">
      <c r="A720" s="2">
        <v>357</v>
      </c>
      <c r="B720" s="2">
        <v>16916</v>
      </c>
      <c r="C720" s="2" t="s">
        <v>1306</v>
      </c>
      <c r="D720" s="2" t="s">
        <v>98</v>
      </c>
      <c r="E720" s="2" t="s">
        <v>113</v>
      </c>
      <c r="F720" s="2" t="s">
        <v>1307</v>
      </c>
      <c r="G720" s="2">
        <v>735.9</v>
      </c>
      <c r="H720" s="2">
        <v>150</v>
      </c>
      <c r="I720" s="2">
        <v>0</v>
      </c>
      <c r="J720" s="2">
        <v>0</v>
      </c>
      <c r="K720" s="2">
        <v>0</v>
      </c>
      <c r="L720" s="2">
        <v>0</v>
      </c>
      <c r="M720" s="2">
        <v>0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v>0</v>
      </c>
      <c r="W720" s="2">
        <v>2</v>
      </c>
      <c r="X720" s="2">
        <v>885.9</v>
      </c>
    </row>
    <row r="721" spans="1:24" x14ac:dyDescent="0.25">
      <c r="G721" s="2" t="s">
        <v>1308</v>
      </c>
    </row>
    <row r="722" spans="1:24" x14ac:dyDescent="0.25">
      <c r="A722" s="2">
        <v>358</v>
      </c>
      <c r="B722" s="2">
        <v>11245</v>
      </c>
      <c r="C722" s="2" t="s">
        <v>1309</v>
      </c>
      <c r="D722" s="2" t="s">
        <v>112</v>
      </c>
      <c r="E722" s="2" t="s">
        <v>194</v>
      </c>
      <c r="F722" s="2" t="s">
        <v>1310</v>
      </c>
      <c r="G722" s="2">
        <v>855.8</v>
      </c>
      <c r="H722" s="2">
        <v>0</v>
      </c>
      <c r="I722" s="2">
        <v>0</v>
      </c>
      <c r="J722" s="2">
        <v>0</v>
      </c>
      <c r="K722" s="2">
        <v>0</v>
      </c>
      <c r="L722" s="2">
        <v>0</v>
      </c>
      <c r="M722" s="2">
        <v>30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v>0</v>
      </c>
      <c r="W722" s="2">
        <v>0</v>
      </c>
      <c r="X722" s="2">
        <v>885.8</v>
      </c>
    </row>
    <row r="723" spans="1:24" x14ac:dyDescent="0.25">
      <c r="G723" s="2" t="s">
        <v>1311</v>
      </c>
    </row>
    <row r="724" spans="1:24" x14ac:dyDescent="0.25">
      <c r="A724" s="2">
        <v>359</v>
      </c>
      <c r="B724" s="2">
        <v>16053</v>
      </c>
      <c r="C724" s="2" t="s">
        <v>1312</v>
      </c>
      <c r="D724" s="2" t="s">
        <v>1313</v>
      </c>
      <c r="E724" s="2" t="s">
        <v>194</v>
      </c>
      <c r="F724" s="2" t="s">
        <v>1314</v>
      </c>
      <c r="G724" s="2">
        <v>885.5</v>
      </c>
      <c r="H724" s="2">
        <v>0</v>
      </c>
      <c r="I724" s="2">
        <v>0</v>
      </c>
      <c r="J724" s="2">
        <v>0</v>
      </c>
      <c r="K724" s="2">
        <v>0</v>
      </c>
      <c r="L724" s="2">
        <v>0</v>
      </c>
      <c r="M724" s="2">
        <v>0</v>
      </c>
      <c r="N724" s="2">
        <v>0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v>0</v>
      </c>
      <c r="W724" s="2">
        <v>0</v>
      </c>
      <c r="X724" s="2">
        <v>885.5</v>
      </c>
    </row>
    <row r="725" spans="1:24" x14ac:dyDescent="0.25">
      <c r="G725" s="2" t="s">
        <v>1315</v>
      </c>
    </row>
    <row r="726" spans="1:24" x14ac:dyDescent="0.25">
      <c r="A726" s="2">
        <v>360</v>
      </c>
      <c r="B726" s="2">
        <v>12269</v>
      </c>
      <c r="C726" s="2" t="s">
        <v>1316</v>
      </c>
      <c r="D726" s="2" t="s">
        <v>747</v>
      </c>
      <c r="E726" s="2" t="s">
        <v>204</v>
      </c>
      <c r="F726" s="2" t="s">
        <v>1317</v>
      </c>
      <c r="G726" s="2">
        <v>785.4</v>
      </c>
      <c r="H726" s="2">
        <v>0</v>
      </c>
      <c r="I726" s="2">
        <v>0</v>
      </c>
      <c r="J726" s="2">
        <v>0</v>
      </c>
      <c r="K726" s="2">
        <v>0</v>
      </c>
      <c r="L726" s="2">
        <v>0</v>
      </c>
      <c r="M726" s="2">
        <v>70</v>
      </c>
      <c r="N726" s="2">
        <v>0</v>
      </c>
      <c r="O726" s="2">
        <v>0</v>
      </c>
      <c r="P726" s="2">
        <v>30</v>
      </c>
      <c r="Q726" s="2">
        <v>0</v>
      </c>
      <c r="R726" s="2">
        <v>0</v>
      </c>
      <c r="S726" s="2">
        <v>0</v>
      </c>
      <c r="T726" s="2">
        <v>0</v>
      </c>
      <c r="U726" s="2">
        <v>0</v>
      </c>
      <c r="W726" s="2">
        <v>0</v>
      </c>
      <c r="X726" s="2">
        <v>885.4</v>
      </c>
    </row>
    <row r="727" spans="1:24" x14ac:dyDescent="0.25">
      <c r="G727" s="2" t="s">
        <v>1318</v>
      </c>
    </row>
    <row r="728" spans="1:24" x14ac:dyDescent="0.25">
      <c r="A728" s="2">
        <v>361</v>
      </c>
      <c r="B728" s="2">
        <v>9976</v>
      </c>
      <c r="C728" s="2" t="s">
        <v>1319</v>
      </c>
      <c r="D728" s="2" t="s">
        <v>248</v>
      </c>
      <c r="E728" s="2" t="s">
        <v>39</v>
      </c>
      <c r="F728" s="2" t="s">
        <v>1320</v>
      </c>
      <c r="G728" s="2">
        <v>834.9</v>
      </c>
      <c r="H728" s="2">
        <v>0</v>
      </c>
      <c r="I728" s="2">
        <v>0</v>
      </c>
      <c r="J728" s="2">
        <v>0</v>
      </c>
      <c r="K728" s="2">
        <v>0</v>
      </c>
      <c r="L728" s="2">
        <v>0</v>
      </c>
      <c r="M728" s="2">
        <v>50</v>
      </c>
      <c r="N728" s="2">
        <v>0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v>0</v>
      </c>
      <c r="W728" s="2">
        <v>0</v>
      </c>
      <c r="X728" s="2">
        <v>884.9</v>
      </c>
    </row>
    <row r="729" spans="1:24" x14ac:dyDescent="0.25">
      <c r="G729" s="2" t="s">
        <v>1321</v>
      </c>
    </row>
    <row r="730" spans="1:24" x14ac:dyDescent="0.25">
      <c r="A730" s="2">
        <v>362</v>
      </c>
      <c r="B730" s="2">
        <v>14792</v>
      </c>
      <c r="C730" s="2" t="s">
        <v>1323</v>
      </c>
      <c r="D730" s="2" t="s">
        <v>208</v>
      </c>
      <c r="E730" s="2" t="s">
        <v>51</v>
      </c>
      <c r="F730" s="2" t="s">
        <v>1324</v>
      </c>
      <c r="G730" s="2">
        <v>834.9</v>
      </c>
      <c r="H730" s="2">
        <v>0</v>
      </c>
      <c r="I730" s="2">
        <v>0</v>
      </c>
      <c r="J730" s="2">
        <v>0</v>
      </c>
      <c r="K730" s="2">
        <v>0</v>
      </c>
      <c r="L730" s="2">
        <v>0</v>
      </c>
      <c r="M730" s="2">
        <v>50</v>
      </c>
      <c r="N730" s="2">
        <v>0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v>0</v>
      </c>
      <c r="W730" s="2">
        <v>0</v>
      </c>
      <c r="X730" s="2">
        <v>884.9</v>
      </c>
    </row>
    <row r="731" spans="1:24" x14ac:dyDescent="0.25">
      <c r="G731" s="2" t="s">
        <v>1325</v>
      </c>
    </row>
    <row r="732" spans="1:24" x14ac:dyDescent="0.25">
      <c r="A732" s="2">
        <v>363</v>
      </c>
      <c r="B732" s="2">
        <v>8562</v>
      </c>
      <c r="C732" s="2" t="s">
        <v>1326</v>
      </c>
      <c r="D732" s="2" t="s">
        <v>1327</v>
      </c>
      <c r="E732" s="2" t="s">
        <v>1328</v>
      </c>
      <c r="F732" s="2" t="s">
        <v>1329</v>
      </c>
      <c r="G732" s="2">
        <v>854.7</v>
      </c>
      <c r="H732" s="2">
        <v>0</v>
      </c>
      <c r="I732" s="2">
        <v>0</v>
      </c>
      <c r="J732" s="2">
        <v>0</v>
      </c>
      <c r="K732" s="2">
        <v>0</v>
      </c>
      <c r="L732" s="2">
        <v>0</v>
      </c>
      <c r="M732" s="2">
        <v>30</v>
      </c>
      <c r="N732" s="2">
        <v>0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v>0</v>
      </c>
      <c r="W732" s="2">
        <v>0</v>
      </c>
      <c r="X732" s="2">
        <v>884.7</v>
      </c>
    </row>
    <row r="733" spans="1:24" x14ac:dyDescent="0.25">
      <c r="G733" s="2" t="s">
        <v>1330</v>
      </c>
    </row>
    <row r="734" spans="1:24" x14ac:dyDescent="0.25">
      <c r="A734" s="2">
        <v>364</v>
      </c>
      <c r="B734" s="2">
        <v>1701</v>
      </c>
      <c r="C734" s="2" t="s">
        <v>1331</v>
      </c>
      <c r="D734" s="2" t="s">
        <v>279</v>
      </c>
      <c r="E734" s="2" t="s">
        <v>51</v>
      </c>
      <c r="F734" s="2" t="s">
        <v>1332</v>
      </c>
      <c r="G734" s="2">
        <v>854.7</v>
      </c>
      <c r="H734" s="2">
        <v>0</v>
      </c>
      <c r="I734" s="2">
        <v>0</v>
      </c>
      <c r="J734" s="2">
        <v>0</v>
      </c>
      <c r="K734" s="2">
        <v>0</v>
      </c>
      <c r="L734" s="2">
        <v>0</v>
      </c>
      <c r="M734" s="2">
        <v>30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v>0</v>
      </c>
      <c r="W734" s="2">
        <v>0</v>
      </c>
      <c r="X734" s="2">
        <v>884.7</v>
      </c>
    </row>
    <row r="735" spans="1:24" x14ac:dyDescent="0.25">
      <c r="G735" s="2" t="s">
        <v>1333</v>
      </c>
    </row>
    <row r="736" spans="1:24" x14ac:dyDescent="0.25">
      <c r="A736" s="2">
        <v>365</v>
      </c>
      <c r="B736" s="2">
        <v>5481</v>
      </c>
      <c r="C736" s="2" t="s">
        <v>163</v>
      </c>
      <c r="D736" s="2" t="s">
        <v>1334</v>
      </c>
      <c r="E736" s="2" t="s">
        <v>90</v>
      </c>
      <c r="F736" s="2" t="s">
        <v>1335</v>
      </c>
      <c r="G736" s="2">
        <v>833.8</v>
      </c>
      <c r="H736" s="2">
        <v>0</v>
      </c>
      <c r="I736" s="2">
        <v>0</v>
      </c>
      <c r="J736" s="2">
        <v>0</v>
      </c>
      <c r="K736" s="2">
        <v>0</v>
      </c>
      <c r="L736" s="2">
        <v>0</v>
      </c>
      <c r="M736" s="2">
        <v>50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v>0</v>
      </c>
      <c r="W736" s="2">
        <v>0</v>
      </c>
      <c r="X736" s="2">
        <v>883.8</v>
      </c>
    </row>
    <row r="737" spans="1:24" x14ac:dyDescent="0.25">
      <c r="G737" s="2" t="s">
        <v>1336</v>
      </c>
    </row>
    <row r="738" spans="1:24" x14ac:dyDescent="0.25">
      <c r="A738" s="2">
        <v>366</v>
      </c>
      <c r="B738" s="2">
        <v>15006</v>
      </c>
      <c r="C738" s="2" t="s">
        <v>1338</v>
      </c>
      <c r="D738" s="2" t="s">
        <v>164</v>
      </c>
      <c r="E738" s="2" t="s">
        <v>204</v>
      </c>
      <c r="F738" s="2" t="s">
        <v>1339</v>
      </c>
      <c r="G738" s="2">
        <v>853.6</v>
      </c>
      <c r="H738" s="2">
        <v>0</v>
      </c>
      <c r="I738" s="2">
        <v>0</v>
      </c>
      <c r="J738" s="2">
        <v>0</v>
      </c>
      <c r="K738" s="2">
        <v>0</v>
      </c>
      <c r="L738" s="2">
        <v>0</v>
      </c>
      <c r="M738" s="2">
        <v>30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v>0</v>
      </c>
      <c r="W738" s="2">
        <v>0</v>
      </c>
      <c r="X738" s="2">
        <v>883.6</v>
      </c>
    </row>
    <row r="739" spans="1:24" x14ac:dyDescent="0.25">
      <c r="G739" s="2" t="s">
        <v>1340</v>
      </c>
    </row>
    <row r="740" spans="1:24" x14ac:dyDescent="0.25">
      <c r="A740" s="2">
        <v>367</v>
      </c>
      <c r="B740" s="2">
        <v>8051</v>
      </c>
      <c r="C740" s="2" t="s">
        <v>1341</v>
      </c>
      <c r="D740" s="2" t="s">
        <v>107</v>
      </c>
      <c r="E740" s="2" t="s">
        <v>51</v>
      </c>
      <c r="F740" s="2" t="s">
        <v>1342</v>
      </c>
      <c r="G740" s="2">
        <v>853.6</v>
      </c>
      <c r="H740" s="2">
        <v>0</v>
      </c>
      <c r="I740" s="2">
        <v>0</v>
      </c>
      <c r="J740" s="2">
        <v>0</v>
      </c>
      <c r="K740" s="2">
        <v>0</v>
      </c>
      <c r="L740" s="2">
        <v>0</v>
      </c>
      <c r="M740" s="2">
        <v>30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v>0</v>
      </c>
      <c r="W740" s="2">
        <v>0</v>
      </c>
      <c r="X740" s="2">
        <v>883.6</v>
      </c>
    </row>
    <row r="741" spans="1:24" x14ac:dyDescent="0.25">
      <c r="G741" s="2" t="s">
        <v>545</v>
      </c>
    </row>
    <row r="742" spans="1:24" x14ac:dyDescent="0.25">
      <c r="A742" s="2">
        <v>368</v>
      </c>
      <c r="B742" s="2">
        <v>9268</v>
      </c>
      <c r="C742" s="2" t="s">
        <v>1343</v>
      </c>
      <c r="D742" s="2" t="s">
        <v>1344</v>
      </c>
      <c r="E742" s="2" t="s">
        <v>16</v>
      </c>
      <c r="F742" s="2" t="s">
        <v>1345</v>
      </c>
      <c r="G742" s="2">
        <v>853.6</v>
      </c>
      <c r="H742" s="2">
        <v>0</v>
      </c>
      <c r="I742" s="2">
        <v>0</v>
      </c>
      <c r="J742" s="2">
        <v>0</v>
      </c>
      <c r="K742" s="2">
        <v>0</v>
      </c>
      <c r="L742" s="2">
        <v>0</v>
      </c>
      <c r="M742" s="2">
        <v>30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v>0</v>
      </c>
      <c r="W742" s="2">
        <v>0</v>
      </c>
      <c r="X742" s="2">
        <v>883.6</v>
      </c>
    </row>
    <row r="743" spans="1:24" x14ac:dyDescent="0.25">
      <c r="G743" s="2" t="s">
        <v>1346</v>
      </c>
    </row>
    <row r="744" spans="1:24" x14ac:dyDescent="0.25">
      <c r="A744" s="2">
        <v>369</v>
      </c>
      <c r="B744" s="2">
        <v>4564</v>
      </c>
      <c r="C744" s="2" t="s">
        <v>1347</v>
      </c>
      <c r="D744" s="2" t="s">
        <v>1348</v>
      </c>
      <c r="E744" s="2" t="s">
        <v>199</v>
      </c>
      <c r="F744" s="2" t="s">
        <v>1349</v>
      </c>
      <c r="G744" s="2">
        <v>883.3</v>
      </c>
      <c r="H744" s="2">
        <v>0</v>
      </c>
      <c r="I744" s="2">
        <v>0</v>
      </c>
      <c r="J744" s="2">
        <v>0</v>
      </c>
      <c r="K744" s="2">
        <v>0</v>
      </c>
      <c r="L744" s="2">
        <v>0</v>
      </c>
      <c r="M744" s="2">
        <v>0</v>
      </c>
      <c r="N744" s="2">
        <v>0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v>0</v>
      </c>
      <c r="W744" s="2">
        <v>0</v>
      </c>
      <c r="X744" s="2">
        <v>883.3</v>
      </c>
    </row>
    <row r="745" spans="1:24" x14ac:dyDescent="0.25">
      <c r="G745" s="2" t="s">
        <v>1350</v>
      </c>
    </row>
    <row r="746" spans="1:24" x14ac:dyDescent="0.25">
      <c r="A746" s="2">
        <v>370</v>
      </c>
      <c r="B746" s="2">
        <v>2352</v>
      </c>
      <c r="C746" s="2" t="s">
        <v>1351</v>
      </c>
      <c r="D746" s="2" t="s">
        <v>45</v>
      </c>
      <c r="E746" s="2" t="s">
        <v>1352</v>
      </c>
      <c r="F746" s="2" t="s">
        <v>1353</v>
      </c>
      <c r="G746" s="2">
        <v>812.9</v>
      </c>
      <c r="H746" s="2">
        <v>0</v>
      </c>
      <c r="I746" s="2">
        <v>0</v>
      </c>
      <c r="J746" s="2">
        <v>0</v>
      </c>
      <c r="K746" s="2">
        <v>0</v>
      </c>
      <c r="L746" s="2">
        <v>0</v>
      </c>
      <c r="M746" s="2">
        <v>70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v>0</v>
      </c>
      <c r="W746" s="2">
        <v>0</v>
      </c>
      <c r="X746" s="2">
        <v>882.9</v>
      </c>
    </row>
    <row r="747" spans="1:24" x14ac:dyDescent="0.25">
      <c r="G747" s="2" t="s">
        <v>1354</v>
      </c>
    </row>
    <row r="748" spans="1:24" x14ac:dyDescent="0.25">
      <c r="A748" s="2">
        <v>371</v>
      </c>
      <c r="B748" s="2">
        <v>12236</v>
      </c>
      <c r="C748" s="2" t="s">
        <v>1355</v>
      </c>
      <c r="D748" s="2" t="s">
        <v>365</v>
      </c>
      <c r="E748" s="2" t="s">
        <v>127</v>
      </c>
      <c r="F748" s="2" t="s">
        <v>1356</v>
      </c>
      <c r="G748" s="2">
        <v>832.7</v>
      </c>
      <c r="H748" s="2">
        <v>0</v>
      </c>
      <c r="I748" s="2">
        <v>0</v>
      </c>
      <c r="J748" s="2">
        <v>0</v>
      </c>
      <c r="K748" s="2">
        <v>0</v>
      </c>
      <c r="L748" s="2">
        <v>0</v>
      </c>
      <c r="M748" s="2">
        <v>50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v>0</v>
      </c>
      <c r="W748" s="2">
        <v>0</v>
      </c>
      <c r="X748" s="2">
        <v>882.7</v>
      </c>
    </row>
    <row r="749" spans="1:24" x14ac:dyDescent="0.25">
      <c r="G749" s="2" t="s">
        <v>1357</v>
      </c>
    </row>
    <row r="750" spans="1:24" x14ac:dyDescent="0.25">
      <c r="A750" s="2">
        <v>372</v>
      </c>
      <c r="B750" s="2">
        <v>1861</v>
      </c>
      <c r="C750" s="2" t="s">
        <v>1358</v>
      </c>
      <c r="D750" s="2" t="s">
        <v>164</v>
      </c>
      <c r="E750" s="2" t="s">
        <v>342</v>
      </c>
      <c r="F750" s="2" t="s">
        <v>1359</v>
      </c>
      <c r="G750" s="2">
        <v>852.5</v>
      </c>
      <c r="H750" s="2">
        <v>0</v>
      </c>
      <c r="I750" s="2">
        <v>0</v>
      </c>
      <c r="J750" s="2">
        <v>0</v>
      </c>
      <c r="K750" s="2">
        <v>0</v>
      </c>
      <c r="L750" s="2">
        <v>0</v>
      </c>
      <c r="M750" s="2">
        <v>30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v>0</v>
      </c>
      <c r="W750" s="2">
        <v>0</v>
      </c>
      <c r="X750" s="2">
        <v>882.5</v>
      </c>
    </row>
    <row r="751" spans="1:24" x14ac:dyDescent="0.25">
      <c r="G751" s="2" t="s">
        <v>1360</v>
      </c>
    </row>
    <row r="752" spans="1:24" x14ac:dyDescent="0.25">
      <c r="A752" s="2">
        <v>373</v>
      </c>
      <c r="B752" s="2">
        <v>17340</v>
      </c>
      <c r="C752" s="2" t="s">
        <v>1361</v>
      </c>
      <c r="D752" s="2" t="s">
        <v>164</v>
      </c>
      <c r="E752" s="2" t="s">
        <v>342</v>
      </c>
      <c r="F752" s="2" t="s">
        <v>1362</v>
      </c>
      <c r="G752" s="2">
        <v>882.2</v>
      </c>
      <c r="H752" s="2">
        <v>0</v>
      </c>
      <c r="I752" s="2">
        <v>0</v>
      </c>
      <c r="J752" s="2">
        <v>0</v>
      </c>
      <c r="K752" s="2">
        <v>0</v>
      </c>
      <c r="L752" s="2">
        <v>0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0</v>
      </c>
      <c r="W752" s="2">
        <v>1</v>
      </c>
      <c r="X752" s="2">
        <v>882.2</v>
      </c>
    </row>
    <row r="753" spans="1:24" x14ac:dyDescent="0.25">
      <c r="G753" s="2" t="s">
        <v>1363</v>
      </c>
    </row>
    <row r="754" spans="1:24" x14ac:dyDescent="0.25">
      <c r="A754" s="2">
        <v>374</v>
      </c>
      <c r="B754" s="2">
        <v>5511</v>
      </c>
      <c r="C754" s="2" t="s">
        <v>1364</v>
      </c>
      <c r="D754" s="2" t="s">
        <v>342</v>
      </c>
      <c r="E754" s="2" t="s">
        <v>148</v>
      </c>
      <c r="F754" s="2" t="s">
        <v>1365</v>
      </c>
      <c r="G754" s="2">
        <v>851.4</v>
      </c>
      <c r="H754" s="2">
        <v>0</v>
      </c>
      <c r="I754" s="2">
        <v>0</v>
      </c>
      <c r="J754" s="2">
        <v>0</v>
      </c>
      <c r="K754" s="2">
        <v>0</v>
      </c>
      <c r="L754" s="2">
        <v>0</v>
      </c>
      <c r="M754" s="2">
        <v>30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v>0</v>
      </c>
      <c r="W754" s="2">
        <v>0</v>
      </c>
      <c r="X754" s="2">
        <v>881.4</v>
      </c>
    </row>
    <row r="755" spans="1:24" x14ac:dyDescent="0.25">
      <c r="G755" s="2" t="s">
        <v>1366</v>
      </c>
    </row>
    <row r="756" spans="1:24" x14ac:dyDescent="0.25">
      <c r="A756" s="2">
        <v>375</v>
      </c>
      <c r="B756" s="2">
        <v>17406</v>
      </c>
      <c r="C756" s="2" t="s">
        <v>1367</v>
      </c>
      <c r="D756" s="2" t="s">
        <v>634</v>
      </c>
      <c r="E756" s="2" t="s">
        <v>90</v>
      </c>
      <c r="F756" s="2" t="s">
        <v>1368</v>
      </c>
      <c r="G756" s="2">
        <v>851.4</v>
      </c>
      <c r="H756" s="2">
        <v>0</v>
      </c>
      <c r="I756" s="2">
        <v>0</v>
      </c>
      <c r="J756" s="2">
        <v>0</v>
      </c>
      <c r="K756" s="2">
        <v>0</v>
      </c>
      <c r="L756" s="2">
        <v>0</v>
      </c>
      <c r="M756" s="2">
        <v>30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v>0</v>
      </c>
      <c r="W756" s="2">
        <v>0</v>
      </c>
      <c r="X756" s="2">
        <v>881.4</v>
      </c>
    </row>
    <row r="757" spans="1:24" x14ac:dyDescent="0.25">
      <c r="G757" s="2" t="s">
        <v>1369</v>
      </c>
    </row>
    <row r="758" spans="1:24" x14ac:dyDescent="0.25">
      <c r="A758" s="2">
        <v>376</v>
      </c>
      <c r="B758" s="2">
        <v>5639</v>
      </c>
      <c r="C758" s="2" t="s">
        <v>1370</v>
      </c>
      <c r="D758" s="2" t="s">
        <v>56</v>
      </c>
      <c r="E758" s="2" t="s">
        <v>73</v>
      </c>
      <c r="F758" s="2" t="s">
        <v>1371</v>
      </c>
      <c r="G758" s="2">
        <v>851.4</v>
      </c>
      <c r="H758" s="2">
        <v>0</v>
      </c>
      <c r="I758" s="2">
        <v>0</v>
      </c>
      <c r="J758" s="2">
        <v>0</v>
      </c>
      <c r="K758" s="2">
        <v>0</v>
      </c>
      <c r="L758" s="2">
        <v>0</v>
      </c>
      <c r="M758" s="2">
        <v>30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v>0</v>
      </c>
      <c r="W758" s="2">
        <v>0</v>
      </c>
      <c r="X758" s="2">
        <v>881.4</v>
      </c>
    </row>
    <row r="759" spans="1:24" x14ac:dyDescent="0.25">
      <c r="G759" s="2" t="s">
        <v>1372</v>
      </c>
    </row>
    <row r="760" spans="1:24" x14ac:dyDescent="0.25">
      <c r="A760" s="2">
        <v>377</v>
      </c>
      <c r="B760" s="2">
        <v>6896</v>
      </c>
      <c r="C760" s="2" t="s">
        <v>1373</v>
      </c>
      <c r="D760" s="2" t="s">
        <v>132</v>
      </c>
      <c r="E760" s="2" t="s">
        <v>723</v>
      </c>
      <c r="F760" s="2" t="s">
        <v>1374</v>
      </c>
      <c r="G760" s="2">
        <v>851.4</v>
      </c>
      <c r="H760" s="2">
        <v>0</v>
      </c>
      <c r="I760" s="2">
        <v>0</v>
      </c>
      <c r="J760" s="2">
        <v>0</v>
      </c>
      <c r="K760" s="2">
        <v>0</v>
      </c>
      <c r="L760" s="2">
        <v>0</v>
      </c>
      <c r="M760" s="2">
        <v>30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v>0</v>
      </c>
      <c r="W760" s="2">
        <v>0</v>
      </c>
      <c r="X760" s="2">
        <v>881.4</v>
      </c>
    </row>
    <row r="761" spans="1:24" x14ac:dyDescent="0.25">
      <c r="G761" s="2" t="s">
        <v>1375</v>
      </c>
    </row>
    <row r="762" spans="1:24" x14ac:dyDescent="0.25">
      <c r="A762" s="2">
        <v>378</v>
      </c>
      <c r="B762" s="2">
        <v>13254</v>
      </c>
      <c r="C762" s="2" t="s">
        <v>1376</v>
      </c>
      <c r="D762" s="2" t="s">
        <v>98</v>
      </c>
      <c r="E762" s="2" t="s">
        <v>597</v>
      </c>
      <c r="F762" s="2" t="s">
        <v>1377</v>
      </c>
      <c r="G762" s="2">
        <v>851.4</v>
      </c>
      <c r="H762" s="2">
        <v>0</v>
      </c>
      <c r="I762" s="2">
        <v>0</v>
      </c>
      <c r="J762" s="2">
        <v>0</v>
      </c>
      <c r="K762" s="2">
        <v>0</v>
      </c>
      <c r="L762" s="2">
        <v>0</v>
      </c>
      <c r="M762" s="2">
        <v>30</v>
      </c>
      <c r="N762" s="2">
        <v>0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v>0</v>
      </c>
      <c r="W762" s="2">
        <v>0</v>
      </c>
      <c r="X762" s="2">
        <v>881.4</v>
      </c>
    </row>
    <row r="763" spans="1:24" x14ac:dyDescent="0.25">
      <c r="G763" s="2" t="s">
        <v>1378</v>
      </c>
    </row>
    <row r="764" spans="1:24" x14ac:dyDescent="0.25">
      <c r="A764" s="2">
        <v>379</v>
      </c>
      <c r="B764" s="2">
        <v>15467</v>
      </c>
      <c r="C764" s="2" t="s">
        <v>1379</v>
      </c>
      <c r="D764" s="2" t="s">
        <v>1380</v>
      </c>
      <c r="E764" s="2" t="s">
        <v>90</v>
      </c>
      <c r="F764" s="2" t="s">
        <v>1381</v>
      </c>
      <c r="G764" s="2">
        <v>781</v>
      </c>
      <c r="H764" s="2">
        <v>0</v>
      </c>
      <c r="I764" s="2">
        <v>0</v>
      </c>
      <c r="J764" s="2">
        <v>0</v>
      </c>
      <c r="K764" s="2">
        <v>0</v>
      </c>
      <c r="L764" s="2">
        <v>0</v>
      </c>
      <c r="M764" s="2">
        <v>70</v>
      </c>
      <c r="N764" s="2">
        <v>0</v>
      </c>
      <c r="O764" s="2">
        <v>0</v>
      </c>
      <c r="P764" s="2">
        <v>0</v>
      </c>
      <c r="Q764" s="2">
        <v>30</v>
      </c>
      <c r="R764" s="2">
        <v>0</v>
      </c>
      <c r="S764" s="2">
        <v>0</v>
      </c>
      <c r="T764" s="2">
        <v>0</v>
      </c>
      <c r="U764" s="2">
        <v>0</v>
      </c>
      <c r="W764" s="2">
        <v>0</v>
      </c>
      <c r="X764" s="2">
        <v>881</v>
      </c>
    </row>
    <row r="765" spans="1:24" x14ac:dyDescent="0.25">
      <c r="G765" s="2" t="s">
        <v>1382</v>
      </c>
    </row>
    <row r="766" spans="1:24" x14ac:dyDescent="0.25">
      <c r="A766" s="2">
        <v>380</v>
      </c>
      <c r="B766" s="2">
        <v>12910</v>
      </c>
      <c r="C766" s="2" t="s">
        <v>1383</v>
      </c>
      <c r="D766" s="2" t="s">
        <v>1384</v>
      </c>
      <c r="E766" s="2" t="s">
        <v>194</v>
      </c>
      <c r="F766" s="2" t="s">
        <v>1385</v>
      </c>
      <c r="G766" s="2">
        <v>850.3</v>
      </c>
      <c r="H766" s="2">
        <v>0</v>
      </c>
      <c r="I766" s="2">
        <v>0</v>
      </c>
      <c r="J766" s="2">
        <v>0</v>
      </c>
      <c r="K766" s="2">
        <v>0</v>
      </c>
      <c r="L766" s="2">
        <v>0</v>
      </c>
      <c r="M766" s="2">
        <v>30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v>0</v>
      </c>
      <c r="W766" s="2">
        <v>0</v>
      </c>
      <c r="X766" s="2">
        <v>880.3</v>
      </c>
    </row>
    <row r="767" spans="1:24" x14ac:dyDescent="0.25">
      <c r="G767" s="2" t="s">
        <v>1386</v>
      </c>
    </row>
    <row r="768" spans="1:24" x14ac:dyDescent="0.25">
      <c r="A768" s="2">
        <v>381</v>
      </c>
      <c r="B768" s="2">
        <v>583</v>
      </c>
      <c r="C768" s="2" t="s">
        <v>1387</v>
      </c>
      <c r="D768" s="2" t="s">
        <v>338</v>
      </c>
      <c r="E768" s="2" t="s">
        <v>78</v>
      </c>
      <c r="F768" s="2" t="s">
        <v>1388</v>
      </c>
      <c r="G768" s="2">
        <v>850.3</v>
      </c>
      <c r="H768" s="2">
        <v>0</v>
      </c>
      <c r="I768" s="2">
        <v>0</v>
      </c>
      <c r="J768" s="2">
        <v>0</v>
      </c>
      <c r="K768" s="2">
        <v>0</v>
      </c>
      <c r="L768" s="2">
        <v>0</v>
      </c>
      <c r="M768" s="2">
        <v>30</v>
      </c>
      <c r="N768" s="2">
        <v>0</v>
      </c>
      <c r="O768" s="2">
        <v>0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v>0</v>
      </c>
      <c r="W768" s="2">
        <v>0</v>
      </c>
      <c r="X768" s="2">
        <v>880.3</v>
      </c>
    </row>
    <row r="769" spans="1:24" x14ac:dyDescent="0.25">
      <c r="G769" s="2" t="s">
        <v>1389</v>
      </c>
    </row>
    <row r="770" spans="1:24" x14ac:dyDescent="0.25">
      <c r="A770" s="2">
        <v>382</v>
      </c>
      <c r="B770" s="2">
        <v>5709</v>
      </c>
      <c r="C770" s="2" t="s">
        <v>1390</v>
      </c>
      <c r="D770" s="2" t="s">
        <v>821</v>
      </c>
      <c r="E770" s="2" t="s">
        <v>73</v>
      </c>
      <c r="F770" s="2" t="s">
        <v>1391</v>
      </c>
      <c r="G770" s="2">
        <v>850.3</v>
      </c>
      <c r="H770" s="2">
        <v>0</v>
      </c>
      <c r="I770" s="2">
        <v>0</v>
      </c>
      <c r="J770" s="2">
        <v>0</v>
      </c>
      <c r="K770" s="2">
        <v>0</v>
      </c>
      <c r="L770" s="2">
        <v>0</v>
      </c>
      <c r="M770" s="2">
        <v>30</v>
      </c>
      <c r="N770" s="2">
        <v>0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v>0</v>
      </c>
      <c r="W770" s="2">
        <v>0</v>
      </c>
      <c r="X770" s="2">
        <v>880.3</v>
      </c>
    </row>
    <row r="771" spans="1:24" x14ac:dyDescent="0.25">
      <c r="G771" s="2" t="s">
        <v>1392</v>
      </c>
    </row>
    <row r="772" spans="1:24" x14ac:dyDescent="0.25">
      <c r="A772" s="2">
        <v>383</v>
      </c>
      <c r="B772" s="2">
        <v>3900</v>
      </c>
      <c r="C772" s="2" t="s">
        <v>1393</v>
      </c>
      <c r="D772" s="2" t="s">
        <v>264</v>
      </c>
      <c r="E772" s="2" t="s">
        <v>342</v>
      </c>
      <c r="F772" s="2" t="s">
        <v>1394</v>
      </c>
      <c r="G772" s="2">
        <v>880</v>
      </c>
      <c r="H772" s="2">
        <v>0</v>
      </c>
      <c r="I772" s="2">
        <v>0</v>
      </c>
      <c r="J772" s="2">
        <v>0</v>
      </c>
      <c r="K772" s="2">
        <v>0</v>
      </c>
      <c r="L772" s="2">
        <v>0</v>
      </c>
      <c r="M772" s="2">
        <v>0</v>
      </c>
      <c r="N772" s="2">
        <v>0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v>0</v>
      </c>
      <c r="W772" s="2">
        <v>0</v>
      </c>
      <c r="X772" s="2">
        <v>880</v>
      </c>
    </row>
    <row r="773" spans="1:24" x14ac:dyDescent="0.25">
      <c r="G773" s="2" t="s">
        <v>1395</v>
      </c>
    </row>
    <row r="774" spans="1:24" x14ac:dyDescent="0.25">
      <c r="A774" s="2">
        <v>384</v>
      </c>
      <c r="B774" s="2">
        <v>8319</v>
      </c>
      <c r="C774" s="2" t="s">
        <v>142</v>
      </c>
      <c r="D774" s="2" t="s">
        <v>170</v>
      </c>
      <c r="E774" s="2" t="s">
        <v>194</v>
      </c>
      <c r="F774" s="2" t="s">
        <v>1396</v>
      </c>
      <c r="G774" s="2">
        <v>849.2</v>
      </c>
      <c r="H774" s="2">
        <v>0</v>
      </c>
      <c r="I774" s="2">
        <v>0</v>
      </c>
      <c r="J774" s="2">
        <v>0</v>
      </c>
      <c r="K774" s="2">
        <v>0</v>
      </c>
      <c r="L774" s="2">
        <v>0</v>
      </c>
      <c r="M774" s="2">
        <v>30</v>
      </c>
      <c r="N774" s="2">
        <v>0</v>
      </c>
      <c r="O774" s="2">
        <v>0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v>0</v>
      </c>
      <c r="W774" s="2">
        <v>0</v>
      </c>
      <c r="X774" s="2">
        <v>879.2</v>
      </c>
    </row>
    <row r="775" spans="1:24" x14ac:dyDescent="0.25">
      <c r="G775" s="2" t="s">
        <v>1397</v>
      </c>
    </row>
    <row r="776" spans="1:24" x14ac:dyDescent="0.25">
      <c r="A776" s="2">
        <v>385</v>
      </c>
      <c r="B776" s="2">
        <v>9302</v>
      </c>
      <c r="C776" s="2" t="s">
        <v>1398</v>
      </c>
      <c r="D776" s="2" t="s">
        <v>1399</v>
      </c>
      <c r="E776" s="2" t="s">
        <v>456</v>
      </c>
      <c r="F776" s="2" t="s">
        <v>1400</v>
      </c>
      <c r="G776" s="2">
        <v>878.9</v>
      </c>
      <c r="H776" s="2">
        <v>0</v>
      </c>
      <c r="I776" s="2">
        <v>0</v>
      </c>
      <c r="J776" s="2">
        <v>0</v>
      </c>
      <c r="K776" s="2">
        <v>0</v>
      </c>
      <c r="L776" s="2">
        <v>0</v>
      </c>
      <c r="M776" s="2">
        <v>0</v>
      </c>
      <c r="N776" s="2">
        <v>0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v>0</v>
      </c>
      <c r="W776" s="2">
        <v>0</v>
      </c>
      <c r="X776" s="2">
        <v>878.9</v>
      </c>
    </row>
    <row r="777" spans="1:24" x14ac:dyDescent="0.25">
      <c r="G777" s="2" t="s">
        <v>1401</v>
      </c>
    </row>
    <row r="778" spans="1:24" x14ac:dyDescent="0.25">
      <c r="A778" s="2">
        <v>386</v>
      </c>
      <c r="B778" s="2">
        <v>14443</v>
      </c>
      <c r="C778" s="2" t="s">
        <v>1402</v>
      </c>
      <c r="D778" s="2" t="s">
        <v>1403</v>
      </c>
      <c r="E778" s="2" t="s">
        <v>199</v>
      </c>
      <c r="F778" s="2" t="s">
        <v>1404</v>
      </c>
      <c r="G778" s="2">
        <v>848.1</v>
      </c>
      <c r="H778" s="2">
        <v>0</v>
      </c>
      <c r="I778" s="2">
        <v>0</v>
      </c>
      <c r="J778" s="2">
        <v>0</v>
      </c>
      <c r="K778" s="2">
        <v>0</v>
      </c>
      <c r="L778" s="2">
        <v>0</v>
      </c>
      <c r="M778" s="2">
        <v>30</v>
      </c>
      <c r="N778" s="2">
        <v>0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v>0</v>
      </c>
      <c r="W778" s="2">
        <v>0</v>
      </c>
      <c r="X778" s="2">
        <v>878.1</v>
      </c>
    </row>
    <row r="779" spans="1:24" x14ac:dyDescent="0.25">
      <c r="G779" s="2" t="s">
        <v>1405</v>
      </c>
    </row>
    <row r="780" spans="1:24" x14ac:dyDescent="0.25">
      <c r="A780" s="2">
        <v>387</v>
      </c>
      <c r="B780" s="2">
        <v>7954</v>
      </c>
      <c r="C780" s="2" t="s">
        <v>1406</v>
      </c>
      <c r="D780" s="2" t="s">
        <v>1407</v>
      </c>
      <c r="E780" s="2" t="s">
        <v>193</v>
      </c>
      <c r="F780" s="2" t="s">
        <v>1408</v>
      </c>
      <c r="G780" s="2">
        <v>848.1</v>
      </c>
      <c r="H780" s="2">
        <v>0</v>
      </c>
      <c r="I780" s="2">
        <v>0</v>
      </c>
      <c r="J780" s="2">
        <v>0</v>
      </c>
      <c r="K780" s="2">
        <v>0</v>
      </c>
      <c r="L780" s="2">
        <v>0</v>
      </c>
      <c r="M780" s="2">
        <v>30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v>0</v>
      </c>
      <c r="W780" s="2">
        <v>0</v>
      </c>
      <c r="X780" s="2">
        <v>878.1</v>
      </c>
    </row>
    <row r="781" spans="1:24" x14ac:dyDescent="0.25">
      <c r="G781" s="2" t="s">
        <v>1409</v>
      </c>
    </row>
    <row r="782" spans="1:24" x14ac:dyDescent="0.25">
      <c r="A782" s="2">
        <v>388</v>
      </c>
      <c r="B782" s="2">
        <v>4321</v>
      </c>
      <c r="C782" s="2" t="s">
        <v>1410</v>
      </c>
      <c r="D782" s="2" t="s">
        <v>1411</v>
      </c>
      <c r="E782" s="2" t="s">
        <v>39</v>
      </c>
      <c r="F782" s="2" t="s">
        <v>1412</v>
      </c>
      <c r="G782" s="2">
        <v>848.1</v>
      </c>
      <c r="H782" s="2">
        <v>0</v>
      </c>
      <c r="I782" s="2">
        <v>0</v>
      </c>
      <c r="J782" s="2">
        <v>0</v>
      </c>
      <c r="K782" s="2">
        <v>0</v>
      </c>
      <c r="L782" s="2">
        <v>0</v>
      </c>
      <c r="M782" s="2">
        <v>30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v>0</v>
      </c>
      <c r="W782" s="2">
        <v>0</v>
      </c>
      <c r="X782" s="2">
        <v>878.1</v>
      </c>
    </row>
    <row r="783" spans="1:24" x14ac:dyDescent="0.25">
      <c r="G783" s="2" t="s">
        <v>1413</v>
      </c>
    </row>
    <row r="784" spans="1:24" x14ac:dyDescent="0.25">
      <c r="A784" s="2">
        <v>389</v>
      </c>
      <c r="B784" s="2">
        <v>5111</v>
      </c>
      <c r="C784" s="2" t="s">
        <v>1415</v>
      </c>
      <c r="D784" s="2" t="s">
        <v>56</v>
      </c>
      <c r="E784" s="2" t="s">
        <v>204</v>
      </c>
      <c r="F784" s="2" t="s">
        <v>1416</v>
      </c>
      <c r="G784" s="2">
        <v>848.1</v>
      </c>
      <c r="H784" s="2">
        <v>0</v>
      </c>
      <c r="I784" s="2">
        <v>0</v>
      </c>
      <c r="J784" s="2">
        <v>0</v>
      </c>
      <c r="K784" s="2">
        <v>0</v>
      </c>
      <c r="L784" s="2">
        <v>0</v>
      </c>
      <c r="M784" s="2">
        <v>30</v>
      </c>
      <c r="N784" s="2">
        <v>0</v>
      </c>
      <c r="O784" s="2">
        <v>0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v>0</v>
      </c>
      <c r="W784" s="2">
        <v>1</v>
      </c>
      <c r="X784" s="2">
        <v>878.1</v>
      </c>
    </row>
    <row r="785" spans="1:24" x14ac:dyDescent="0.25">
      <c r="G785" s="2" t="s">
        <v>1417</v>
      </c>
    </row>
    <row r="786" spans="1:24" x14ac:dyDescent="0.25">
      <c r="A786" s="2">
        <v>390</v>
      </c>
      <c r="B786" s="2">
        <v>15005</v>
      </c>
      <c r="C786" s="2" t="s">
        <v>1418</v>
      </c>
      <c r="D786" s="2" t="s">
        <v>1419</v>
      </c>
      <c r="E786" s="2" t="s">
        <v>1420</v>
      </c>
      <c r="F786" s="2" t="s">
        <v>1421</v>
      </c>
      <c r="G786" s="2">
        <v>877.8</v>
      </c>
      <c r="H786" s="2">
        <v>0</v>
      </c>
      <c r="I786" s="2">
        <v>0</v>
      </c>
      <c r="J786" s="2">
        <v>0</v>
      </c>
      <c r="K786" s="2">
        <v>0</v>
      </c>
      <c r="L786" s="2">
        <v>0</v>
      </c>
      <c r="M786" s="2">
        <v>0</v>
      </c>
      <c r="N786" s="2">
        <v>0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v>0</v>
      </c>
      <c r="W786" s="2">
        <v>0</v>
      </c>
      <c r="X786" s="2">
        <v>877.8</v>
      </c>
    </row>
    <row r="787" spans="1:24" x14ac:dyDescent="0.25">
      <c r="G787" s="2" t="s">
        <v>1422</v>
      </c>
    </row>
    <row r="788" spans="1:24" x14ac:dyDescent="0.25">
      <c r="A788" s="2">
        <v>391</v>
      </c>
      <c r="B788" s="2">
        <v>17086</v>
      </c>
      <c r="C788" s="2" t="s">
        <v>1423</v>
      </c>
      <c r="D788" s="2" t="s">
        <v>1424</v>
      </c>
      <c r="E788" s="2" t="s">
        <v>51</v>
      </c>
      <c r="F788" s="2" t="s">
        <v>1425</v>
      </c>
      <c r="G788" s="2">
        <v>807.4</v>
      </c>
      <c r="H788" s="2">
        <v>0</v>
      </c>
      <c r="I788" s="2">
        <v>0</v>
      </c>
      <c r="J788" s="2">
        <v>0</v>
      </c>
      <c r="K788" s="2">
        <v>0</v>
      </c>
      <c r="L788" s="2">
        <v>0</v>
      </c>
      <c r="M788" s="2">
        <v>70</v>
      </c>
      <c r="N788" s="2">
        <v>0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v>0</v>
      </c>
      <c r="W788" s="2">
        <v>0</v>
      </c>
      <c r="X788" s="2">
        <v>877.4</v>
      </c>
    </row>
    <row r="789" spans="1:24" x14ac:dyDescent="0.25">
      <c r="G789" s="2" t="s">
        <v>1426</v>
      </c>
    </row>
    <row r="790" spans="1:24" x14ac:dyDescent="0.25">
      <c r="A790" s="2">
        <v>392</v>
      </c>
      <c r="B790" s="2">
        <v>7647</v>
      </c>
      <c r="C790" s="2" t="s">
        <v>1427</v>
      </c>
      <c r="D790" s="2" t="s">
        <v>1428</v>
      </c>
      <c r="E790" s="2" t="s">
        <v>51</v>
      </c>
      <c r="F790" s="2" t="s">
        <v>1429</v>
      </c>
      <c r="G790" s="2">
        <v>847</v>
      </c>
      <c r="H790" s="2">
        <v>0</v>
      </c>
      <c r="I790" s="2">
        <v>0</v>
      </c>
      <c r="J790" s="2">
        <v>0</v>
      </c>
      <c r="K790" s="2">
        <v>0</v>
      </c>
      <c r="L790" s="2">
        <v>0</v>
      </c>
      <c r="M790" s="2">
        <v>30</v>
      </c>
      <c r="N790" s="2">
        <v>0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v>0</v>
      </c>
      <c r="W790" s="2">
        <v>0</v>
      </c>
      <c r="X790" s="2">
        <v>877</v>
      </c>
    </row>
    <row r="791" spans="1:24" x14ac:dyDescent="0.25">
      <c r="G791" s="2" t="s">
        <v>1430</v>
      </c>
    </row>
    <row r="792" spans="1:24" x14ac:dyDescent="0.25">
      <c r="A792" s="2">
        <v>393</v>
      </c>
      <c r="B792" s="2">
        <v>3674</v>
      </c>
      <c r="C792" s="2" t="s">
        <v>1431</v>
      </c>
      <c r="D792" s="2" t="s">
        <v>39</v>
      </c>
      <c r="E792" s="2" t="s">
        <v>73</v>
      </c>
      <c r="F792" s="2" t="s">
        <v>1432</v>
      </c>
      <c r="G792" s="2">
        <v>876.7</v>
      </c>
      <c r="H792" s="2">
        <v>0</v>
      </c>
      <c r="I792" s="2">
        <v>0</v>
      </c>
      <c r="J792" s="2">
        <v>0</v>
      </c>
      <c r="K792" s="2">
        <v>0</v>
      </c>
      <c r="L792" s="2">
        <v>0</v>
      </c>
      <c r="M792" s="2">
        <v>0</v>
      </c>
      <c r="N792" s="2">
        <v>0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v>0</v>
      </c>
      <c r="W792" s="2">
        <v>0</v>
      </c>
      <c r="X792" s="2">
        <v>876.7</v>
      </c>
    </row>
    <row r="793" spans="1:24" x14ac:dyDescent="0.25">
      <c r="G793" s="2" t="s">
        <v>1433</v>
      </c>
    </row>
    <row r="794" spans="1:24" x14ac:dyDescent="0.25">
      <c r="A794" s="2">
        <v>394</v>
      </c>
      <c r="B794" s="2">
        <v>5414</v>
      </c>
      <c r="C794" s="2" t="s">
        <v>1434</v>
      </c>
      <c r="D794" s="2" t="s">
        <v>1435</v>
      </c>
      <c r="E794" s="2" t="s">
        <v>16</v>
      </c>
      <c r="F794" s="2" t="s">
        <v>1436</v>
      </c>
      <c r="G794" s="2">
        <v>876.7</v>
      </c>
      <c r="H794" s="2">
        <v>0</v>
      </c>
      <c r="I794" s="2">
        <v>0</v>
      </c>
      <c r="J794" s="2">
        <v>0</v>
      </c>
      <c r="K794" s="2">
        <v>0</v>
      </c>
      <c r="L794" s="2">
        <v>0</v>
      </c>
      <c r="M794" s="2">
        <v>0</v>
      </c>
      <c r="N794" s="2">
        <v>0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v>0</v>
      </c>
      <c r="W794" s="2">
        <v>0</v>
      </c>
      <c r="X794" s="2">
        <v>876.7</v>
      </c>
    </row>
    <row r="795" spans="1:24" x14ac:dyDescent="0.25">
      <c r="G795" s="2" t="s">
        <v>1437</v>
      </c>
    </row>
    <row r="796" spans="1:24" x14ac:dyDescent="0.25">
      <c r="A796" s="2">
        <v>395</v>
      </c>
      <c r="B796" s="2">
        <v>5734</v>
      </c>
      <c r="C796" s="2" t="s">
        <v>1438</v>
      </c>
      <c r="D796" s="2" t="s">
        <v>1439</v>
      </c>
      <c r="E796" s="2" t="s">
        <v>1440</v>
      </c>
      <c r="F796" s="2" t="s">
        <v>1441</v>
      </c>
      <c r="G796" s="2">
        <v>845.9</v>
      </c>
      <c r="H796" s="2">
        <v>0</v>
      </c>
      <c r="I796" s="2">
        <v>0</v>
      </c>
      <c r="J796" s="2">
        <v>0</v>
      </c>
      <c r="K796" s="2">
        <v>0</v>
      </c>
      <c r="L796" s="2">
        <v>0</v>
      </c>
      <c r="M796" s="2">
        <v>30</v>
      </c>
      <c r="N796" s="2">
        <v>0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v>0</v>
      </c>
      <c r="W796" s="2">
        <v>0</v>
      </c>
      <c r="X796" s="2">
        <v>875.9</v>
      </c>
    </row>
    <row r="797" spans="1:24" x14ac:dyDescent="0.25">
      <c r="G797" s="2" t="s">
        <v>1442</v>
      </c>
    </row>
    <row r="798" spans="1:24" x14ac:dyDescent="0.25">
      <c r="A798" s="2">
        <v>396</v>
      </c>
      <c r="B798" s="2">
        <v>324</v>
      </c>
      <c r="C798" s="2" t="s">
        <v>1443</v>
      </c>
      <c r="D798" s="2" t="s">
        <v>248</v>
      </c>
      <c r="E798" s="2" t="s">
        <v>194</v>
      </c>
      <c r="F798" s="2" t="s">
        <v>1444</v>
      </c>
      <c r="G798" s="2">
        <v>845.9</v>
      </c>
      <c r="H798" s="2">
        <v>0</v>
      </c>
      <c r="I798" s="2">
        <v>0</v>
      </c>
      <c r="J798" s="2">
        <v>0</v>
      </c>
      <c r="K798" s="2">
        <v>0</v>
      </c>
      <c r="L798" s="2">
        <v>0</v>
      </c>
      <c r="M798" s="2">
        <v>30</v>
      </c>
      <c r="N798" s="2">
        <v>0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v>0</v>
      </c>
      <c r="W798" s="2">
        <v>0</v>
      </c>
      <c r="X798" s="2">
        <v>875.9</v>
      </c>
    </row>
    <row r="799" spans="1:24" x14ac:dyDescent="0.25">
      <c r="G799" s="2" t="s">
        <v>1445</v>
      </c>
    </row>
    <row r="800" spans="1:24" x14ac:dyDescent="0.25">
      <c r="A800" s="2">
        <v>397</v>
      </c>
      <c r="B800" s="2">
        <v>11490</v>
      </c>
      <c r="C800" s="2" t="s">
        <v>1446</v>
      </c>
      <c r="D800" s="2" t="s">
        <v>89</v>
      </c>
      <c r="E800" s="2" t="s">
        <v>73</v>
      </c>
      <c r="F800" s="2" t="s">
        <v>1447</v>
      </c>
      <c r="G800" s="2">
        <v>875.6</v>
      </c>
      <c r="H800" s="2">
        <v>0</v>
      </c>
      <c r="I800" s="2">
        <v>0</v>
      </c>
      <c r="J800" s="2">
        <v>0</v>
      </c>
      <c r="K800" s="2">
        <v>0</v>
      </c>
      <c r="L800" s="2">
        <v>0</v>
      </c>
      <c r="M800" s="2">
        <v>0</v>
      </c>
      <c r="N800" s="2">
        <v>0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v>0</v>
      </c>
      <c r="W800" s="2">
        <v>0</v>
      </c>
      <c r="X800" s="2">
        <v>875.6</v>
      </c>
    </row>
    <row r="801" spans="1:24" x14ac:dyDescent="0.25">
      <c r="G801" s="2" t="s">
        <v>1448</v>
      </c>
    </row>
    <row r="802" spans="1:24" x14ac:dyDescent="0.25">
      <c r="A802" s="2">
        <v>398</v>
      </c>
      <c r="B802" s="2">
        <v>827</v>
      </c>
      <c r="C802" s="2" t="s">
        <v>1450</v>
      </c>
      <c r="D802" s="2" t="s">
        <v>73</v>
      </c>
      <c r="E802" s="2" t="s">
        <v>127</v>
      </c>
      <c r="F802" s="2" t="s">
        <v>1451</v>
      </c>
      <c r="G802" s="2">
        <v>805.2</v>
      </c>
      <c r="H802" s="2">
        <v>0</v>
      </c>
      <c r="I802" s="2">
        <v>0</v>
      </c>
      <c r="J802" s="2">
        <v>0</v>
      </c>
      <c r="K802" s="2">
        <v>0</v>
      </c>
      <c r="L802" s="2">
        <v>0</v>
      </c>
      <c r="M802" s="2">
        <v>70</v>
      </c>
      <c r="N802" s="2">
        <v>0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v>0</v>
      </c>
      <c r="W802" s="2">
        <v>0</v>
      </c>
      <c r="X802" s="2">
        <v>875.2</v>
      </c>
    </row>
    <row r="803" spans="1:24" x14ac:dyDescent="0.25">
      <c r="G803" s="2" t="s">
        <v>1452</v>
      </c>
    </row>
    <row r="804" spans="1:24" x14ac:dyDescent="0.25">
      <c r="A804" s="2">
        <v>399</v>
      </c>
      <c r="B804" s="2">
        <v>705</v>
      </c>
      <c r="C804" s="2" t="s">
        <v>1453</v>
      </c>
      <c r="D804" s="2" t="s">
        <v>164</v>
      </c>
      <c r="E804" s="2" t="s">
        <v>16</v>
      </c>
      <c r="F804" s="2" t="s">
        <v>1454</v>
      </c>
      <c r="G804" s="2">
        <v>844.8</v>
      </c>
      <c r="H804" s="2">
        <v>0</v>
      </c>
      <c r="I804" s="2">
        <v>0</v>
      </c>
      <c r="J804" s="2">
        <v>0</v>
      </c>
      <c r="K804" s="2">
        <v>0</v>
      </c>
      <c r="L804" s="2">
        <v>0</v>
      </c>
      <c r="M804" s="2">
        <v>30</v>
      </c>
      <c r="N804" s="2">
        <v>0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v>0</v>
      </c>
      <c r="W804" s="2">
        <v>0</v>
      </c>
      <c r="X804" s="2">
        <v>874.8</v>
      </c>
    </row>
    <row r="805" spans="1:24" x14ac:dyDescent="0.25">
      <c r="G805" s="2" t="s">
        <v>1455</v>
      </c>
    </row>
    <row r="806" spans="1:24" x14ac:dyDescent="0.25">
      <c r="A806" s="2">
        <v>400</v>
      </c>
      <c r="B806" s="2">
        <v>6097</v>
      </c>
      <c r="C806" s="2" t="s">
        <v>1456</v>
      </c>
      <c r="D806" s="2" t="s">
        <v>67</v>
      </c>
      <c r="E806" s="2" t="s">
        <v>1221</v>
      </c>
      <c r="F806" s="2" t="s">
        <v>1457</v>
      </c>
      <c r="G806" s="2">
        <v>844.8</v>
      </c>
      <c r="H806" s="2">
        <v>0</v>
      </c>
      <c r="I806" s="2">
        <v>0</v>
      </c>
      <c r="J806" s="2">
        <v>0</v>
      </c>
      <c r="K806" s="2">
        <v>0</v>
      </c>
      <c r="L806" s="2">
        <v>0</v>
      </c>
      <c r="M806" s="2">
        <v>30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v>0</v>
      </c>
      <c r="W806" s="2">
        <v>0</v>
      </c>
      <c r="X806" s="2">
        <v>874.8</v>
      </c>
    </row>
    <row r="807" spans="1:24" x14ac:dyDescent="0.25">
      <c r="G807" s="2" t="s">
        <v>1458</v>
      </c>
    </row>
    <row r="808" spans="1:24" x14ac:dyDescent="0.25">
      <c r="A808" s="2">
        <v>401</v>
      </c>
      <c r="B808" s="2">
        <v>10894</v>
      </c>
      <c r="C808" s="2" t="s">
        <v>1459</v>
      </c>
      <c r="D808" s="2" t="s">
        <v>112</v>
      </c>
      <c r="E808" s="2" t="s">
        <v>16</v>
      </c>
      <c r="F808" s="2" t="s">
        <v>1460</v>
      </c>
      <c r="G808" s="2">
        <v>844.8</v>
      </c>
      <c r="H808" s="2">
        <v>0</v>
      </c>
      <c r="I808" s="2">
        <v>0</v>
      </c>
      <c r="J808" s="2">
        <v>0</v>
      </c>
      <c r="K808" s="2">
        <v>0</v>
      </c>
      <c r="L808" s="2">
        <v>0</v>
      </c>
      <c r="M808" s="2">
        <v>30</v>
      </c>
      <c r="N808" s="2">
        <v>0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v>0</v>
      </c>
      <c r="W808" s="2">
        <v>0</v>
      </c>
      <c r="X808" s="2">
        <v>874.8</v>
      </c>
    </row>
    <row r="809" spans="1:24" x14ac:dyDescent="0.25">
      <c r="G809" s="2" t="s">
        <v>1461</v>
      </c>
    </row>
    <row r="810" spans="1:24" x14ac:dyDescent="0.25">
      <c r="A810" s="2">
        <v>402</v>
      </c>
      <c r="B810" s="2">
        <v>15856</v>
      </c>
      <c r="C810" s="2" t="s">
        <v>1462</v>
      </c>
      <c r="D810" s="2" t="s">
        <v>178</v>
      </c>
      <c r="E810" s="2" t="s">
        <v>16</v>
      </c>
      <c r="F810" s="2" t="s">
        <v>1463</v>
      </c>
      <c r="G810" s="2">
        <v>823.9</v>
      </c>
      <c r="H810" s="2">
        <v>0</v>
      </c>
      <c r="I810" s="2">
        <v>0</v>
      </c>
      <c r="J810" s="2">
        <v>0</v>
      </c>
      <c r="K810" s="2">
        <v>0</v>
      </c>
      <c r="L810" s="2">
        <v>0</v>
      </c>
      <c r="M810" s="2">
        <v>50</v>
      </c>
      <c r="N810" s="2">
        <v>0</v>
      </c>
      <c r="O810" s="2">
        <v>0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v>0</v>
      </c>
      <c r="W810" s="2">
        <v>0</v>
      </c>
      <c r="X810" s="2">
        <v>873.9</v>
      </c>
    </row>
    <row r="811" spans="1:24" x14ac:dyDescent="0.25">
      <c r="G811" s="2" t="s">
        <v>1464</v>
      </c>
    </row>
    <row r="812" spans="1:24" x14ac:dyDescent="0.25">
      <c r="A812" s="2">
        <v>403</v>
      </c>
      <c r="B812" s="2">
        <v>8795</v>
      </c>
      <c r="C812" s="2" t="s">
        <v>1465</v>
      </c>
      <c r="D812" s="2" t="s">
        <v>1466</v>
      </c>
      <c r="E812" s="2" t="s">
        <v>51</v>
      </c>
      <c r="F812" s="2" t="s">
        <v>1467</v>
      </c>
      <c r="G812" s="2">
        <v>823.9</v>
      </c>
      <c r="H812" s="2">
        <v>0</v>
      </c>
      <c r="I812" s="2">
        <v>0</v>
      </c>
      <c r="J812" s="2">
        <v>0</v>
      </c>
      <c r="K812" s="2">
        <v>0</v>
      </c>
      <c r="L812" s="2">
        <v>0</v>
      </c>
      <c r="M812" s="2">
        <v>50</v>
      </c>
      <c r="N812" s="2">
        <v>0</v>
      </c>
      <c r="O812" s="2">
        <v>0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v>0</v>
      </c>
      <c r="W812" s="2">
        <v>0</v>
      </c>
      <c r="X812" s="2">
        <v>873.9</v>
      </c>
    </row>
    <row r="813" spans="1:24" x14ac:dyDescent="0.25">
      <c r="G813" s="2" t="s">
        <v>1468</v>
      </c>
    </row>
    <row r="814" spans="1:24" x14ac:dyDescent="0.25">
      <c r="A814" s="2">
        <v>404</v>
      </c>
      <c r="B814" s="2">
        <v>7592</v>
      </c>
      <c r="C814" s="2" t="s">
        <v>1469</v>
      </c>
      <c r="D814" s="2" t="s">
        <v>252</v>
      </c>
      <c r="E814" s="2" t="s">
        <v>456</v>
      </c>
      <c r="F814" s="2" t="s">
        <v>1470</v>
      </c>
      <c r="G814" s="2">
        <v>843.7</v>
      </c>
      <c r="H814" s="2">
        <v>0</v>
      </c>
      <c r="I814" s="2">
        <v>0</v>
      </c>
      <c r="J814" s="2">
        <v>0</v>
      </c>
      <c r="K814" s="2">
        <v>0</v>
      </c>
      <c r="L814" s="2">
        <v>0</v>
      </c>
      <c r="M814" s="2">
        <v>30</v>
      </c>
      <c r="N814" s="2">
        <v>0</v>
      </c>
      <c r="O814" s="2">
        <v>0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v>0</v>
      </c>
      <c r="W814" s="2">
        <v>0</v>
      </c>
      <c r="X814" s="2">
        <v>873.7</v>
      </c>
    </row>
    <row r="815" spans="1:24" x14ac:dyDescent="0.25">
      <c r="G815" s="2" t="s">
        <v>1471</v>
      </c>
    </row>
    <row r="816" spans="1:24" x14ac:dyDescent="0.25">
      <c r="A816" s="2">
        <v>405</v>
      </c>
      <c r="B816" s="2">
        <v>13737</v>
      </c>
      <c r="C816" s="2" t="s">
        <v>1472</v>
      </c>
      <c r="D816" s="2" t="s">
        <v>56</v>
      </c>
      <c r="E816" s="2" t="s">
        <v>642</v>
      </c>
      <c r="F816" s="2" t="s">
        <v>1473</v>
      </c>
      <c r="G816" s="2">
        <v>843.7</v>
      </c>
      <c r="H816" s="2">
        <v>0</v>
      </c>
      <c r="I816" s="2">
        <v>0</v>
      </c>
      <c r="J816" s="2">
        <v>0</v>
      </c>
      <c r="K816" s="2">
        <v>0</v>
      </c>
      <c r="L816" s="2">
        <v>0</v>
      </c>
      <c r="M816" s="2">
        <v>30</v>
      </c>
      <c r="N816" s="2">
        <v>0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v>0</v>
      </c>
      <c r="W816" s="2">
        <v>0</v>
      </c>
      <c r="X816" s="2">
        <v>873.7</v>
      </c>
    </row>
    <row r="817" spans="1:24" x14ac:dyDescent="0.25">
      <c r="G817" s="2" t="s">
        <v>1474</v>
      </c>
    </row>
    <row r="818" spans="1:24" x14ac:dyDescent="0.25">
      <c r="A818" s="2">
        <v>406</v>
      </c>
      <c r="B818" s="2">
        <v>1934</v>
      </c>
      <c r="C818" s="2" t="s">
        <v>1475</v>
      </c>
      <c r="D818" s="2" t="s">
        <v>264</v>
      </c>
      <c r="E818" s="2" t="s">
        <v>62</v>
      </c>
      <c r="F818" s="2" t="s">
        <v>1476</v>
      </c>
      <c r="G818" s="2">
        <v>843.7</v>
      </c>
      <c r="H818" s="2">
        <v>0</v>
      </c>
      <c r="I818" s="2">
        <v>0</v>
      </c>
      <c r="J818" s="2">
        <v>0</v>
      </c>
      <c r="K818" s="2">
        <v>0</v>
      </c>
      <c r="L818" s="2">
        <v>0</v>
      </c>
      <c r="M818" s="2">
        <v>30</v>
      </c>
      <c r="N818" s="2">
        <v>0</v>
      </c>
      <c r="O818" s="2">
        <v>0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v>0</v>
      </c>
      <c r="W818" s="2">
        <v>0</v>
      </c>
      <c r="X818" s="2">
        <v>873.7</v>
      </c>
    </row>
    <row r="819" spans="1:24" x14ac:dyDescent="0.25">
      <c r="G819" s="2" t="s">
        <v>1477</v>
      </c>
    </row>
    <row r="820" spans="1:24" x14ac:dyDescent="0.25">
      <c r="A820" s="2">
        <v>407</v>
      </c>
      <c r="B820" s="2">
        <v>15324</v>
      </c>
      <c r="C820" s="2" t="s">
        <v>1478</v>
      </c>
      <c r="D820" s="2" t="s">
        <v>178</v>
      </c>
      <c r="E820" s="2" t="s">
        <v>194</v>
      </c>
      <c r="F820" s="2" t="s">
        <v>1479</v>
      </c>
      <c r="G820" s="2">
        <v>843.7</v>
      </c>
      <c r="H820" s="2">
        <v>0</v>
      </c>
      <c r="I820" s="2">
        <v>0</v>
      </c>
      <c r="J820" s="2">
        <v>0</v>
      </c>
      <c r="K820" s="2">
        <v>0</v>
      </c>
      <c r="L820" s="2">
        <v>0</v>
      </c>
      <c r="M820" s="2">
        <v>30</v>
      </c>
      <c r="N820" s="2">
        <v>0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v>0</v>
      </c>
      <c r="W820" s="2">
        <v>0</v>
      </c>
      <c r="X820" s="2">
        <v>873.7</v>
      </c>
    </row>
    <row r="821" spans="1:24" x14ac:dyDescent="0.25">
      <c r="G821" s="2" t="s">
        <v>1480</v>
      </c>
    </row>
    <row r="822" spans="1:24" x14ac:dyDescent="0.25">
      <c r="A822" s="2">
        <v>408</v>
      </c>
      <c r="B822" s="2">
        <v>4562</v>
      </c>
      <c r="C822" s="2" t="s">
        <v>1481</v>
      </c>
      <c r="D822" s="2" t="s">
        <v>38</v>
      </c>
      <c r="E822" s="2" t="s">
        <v>127</v>
      </c>
      <c r="F822" s="2" t="s">
        <v>1482</v>
      </c>
      <c r="G822" s="2">
        <v>873.4</v>
      </c>
      <c r="H822" s="2">
        <v>0</v>
      </c>
      <c r="I822" s="2">
        <v>0</v>
      </c>
      <c r="J822" s="2">
        <v>0</v>
      </c>
      <c r="K822" s="2">
        <v>0</v>
      </c>
      <c r="L822" s="2">
        <v>0</v>
      </c>
      <c r="M822" s="2">
        <v>0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v>0</v>
      </c>
      <c r="W822" s="2">
        <v>2</v>
      </c>
      <c r="X822" s="2">
        <v>873.4</v>
      </c>
    </row>
    <row r="823" spans="1:24" x14ac:dyDescent="0.25">
      <c r="G823" s="2" t="s">
        <v>1483</v>
      </c>
    </row>
    <row r="824" spans="1:24" x14ac:dyDescent="0.25">
      <c r="A824" s="2">
        <v>409</v>
      </c>
      <c r="B824" s="2">
        <v>8797</v>
      </c>
      <c r="C824" s="2" t="s">
        <v>1484</v>
      </c>
      <c r="D824" s="2" t="s">
        <v>112</v>
      </c>
      <c r="E824" s="2" t="s">
        <v>1485</v>
      </c>
      <c r="F824" s="2" t="s">
        <v>1486</v>
      </c>
      <c r="G824" s="2">
        <v>803</v>
      </c>
      <c r="H824" s="2">
        <v>0</v>
      </c>
      <c r="I824" s="2">
        <v>0</v>
      </c>
      <c r="J824" s="2">
        <v>0</v>
      </c>
      <c r="K824" s="2">
        <v>0</v>
      </c>
      <c r="L824" s="2">
        <v>0</v>
      </c>
      <c r="M824" s="2">
        <v>70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v>0</v>
      </c>
      <c r="W824" s="2">
        <v>0</v>
      </c>
      <c r="X824" s="2">
        <v>873</v>
      </c>
    </row>
    <row r="825" spans="1:24" x14ac:dyDescent="0.25">
      <c r="G825" s="2" t="s">
        <v>1487</v>
      </c>
    </row>
    <row r="826" spans="1:24" x14ac:dyDescent="0.25">
      <c r="A826" s="2">
        <v>410</v>
      </c>
      <c r="B826" s="2">
        <v>751</v>
      </c>
      <c r="C826" s="2" t="s">
        <v>1488</v>
      </c>
      <c r="D826" s="2" t="s">
        <v>1334</v>
      </c>
      <c r="E826" s="2" t="s">
        <v>194</v>
      </c>
      <c r="F826" s="2" t="s">
        <v>1489</v>
      </c>
      <c r="G826" s="2">
        <v>842.6</v>
      </c>
      <c r="H826" s="2">
        <v>0</v>
      </c>
      <c r="I826" s="2">
        <v>0</v>
      </c>
      <c r="J826" s="2">
        <v>0</v>
      </c>
      <c r="K826" s="2">
        <v>0</v>
      </c>
      <c r="L826" s="2">
        <v>0</v>
      </c>
      <c r="M826" s="2">
        <v>30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v>0</v>
      </c>
      <c r="W826" s="2">
        <v>0</v>
      </c>
      <c r="X826" s="2">
        <v>872.6</v>
      </c>
    </row>
    <row r="827" spans="1:24" x14ac:dyDescent="0.25">
      <c r="G827" s="2" t="s">
        <v>1490</v>
      </c>
    </row>
    <row r="828" spans="1:24" x14ac:dyDescent="0.25">
      <c r="A828" s="2">
        <v>411</v>
      </c>
      <c r="B828" s="2">
        <v>4189</v>
      </c>
      <c r="C828" s="2" t="s">
        <v>1491</v>
      </c>
      <c r="D828" s="2" t="s">
        <v>275</v>
      </c>
      <c r="E828" s="2" t="s">
        <v>1492</v>
      </c>
      <c r="F828" s="2" t="s">
        <v>1493</v>
      </c>
      <c r="G828" s="2">
        <v>842.6</v>
      </c>
      <c r="H828" s="2">
        <v>0</v>
      </c>
      <c r="I828" s="2">
        <v>0</v>
      </c>
      <c r="J828" s="2">
        <v>0</v>
      </c>
      <c r="K828" s="2">
        <v>0</v>
      </c>
      <c r="L828" s="2">
        <v>0</v>
      </c>
      <c r="M828" s="2">
        <v>30</v>
      </c>
      <c r="N828" s="2">
        <v>0</v>
      </c>
      <c r="O828" s="2">
        <v>0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v>0</v>
      </c>
      <c r="W828" s="2">
        <v>0</v>
      </c>
      <c r="X828" s="2">
        <v>872.6</v>
      </c>
    </row>
    <row r="829" spans="1:24" x14ac:dyDescent="0.25">
      <c r="G829" s="2" t="s">
        <v>1494</v>
      </c>
    </row>
    <row r="830" spans="1:24" x14ac:dyDescent="0.25">
      <c r="A830" s="2">
        <v>412</v>
      </c>
      <c r="B830" s="2">
        <v>17315</v>
      </c>
      <c r="C830" s="2" t="s">
        <v>1495</v>
      </c>
      <c r="D830" s="2" t="s">
        <v>1125</v>
      </c>
      <c r="E830" s="2" t="s">
        <v>882</v>
      </c>
      <c r="F830" s="2" t="s">
        <v>1496</v>
      </c>
      <c r="G830" s="2">
        <v>842.6</v>
      </c>
      <c r="H830" s="2">
        <v>0</v>
      </c>
      <c r="I830" s="2">
        <v>0</v>
      </c>
      <c r="J830" s="2">
        <v>0</v>
      </c>
      <c r="K830" s="2">
        <v>0</v>
      </c>
      <c r="L830" s="2">
        <v>0</v>
      </c>
      <c r="M830" s="2">
        <v>30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v>0</v>
      </c>
      <c r="W830" s="2">
        <v>0</v>
      </c>
      <c r="X830" s="2">
        <v>872.6</v>
      </c>
    </row>
    <row r="831" spans="1:24" x14ac:dyDescent="0.25">
      <c r="G831" s="2" t="s">
        <v>1497</v>
      </c>
    </row>
    <row r="832" spans="1:24" x14ac:dyDescent="0.25">
      <c r="A832" s="2">
        <v>413</v>
      </c>
      <c r="B832" s="2">
        <v>6088</v>
      </c>
      <c r="C832" s="2" t="s">
        <v>1498</v>
      </c>
      <c r="D832" s="2" t="s">
        <v>365</v>
      </c>
      <c r="E832" s="2" t="s">
        <v>39</v>
      </c>
      <c r="F832" s="2" t="s">
        <v>1499</v>
      </c>
      <c r="G832" s="2">
        <v>842.6</v>
      </c>
      <c r="H832" s="2">
        <v>0</v>
      </c>
      <c r="I832" s="2">
        <v>0</v>
      </c>
      <c r="J832" s="2">
        <v>0</v>
      </c>
      <c r="K832" s="2">
        <v>0</v>
      </c>
      <c r="L832" s="2">
        <v>0</v>
      </c>
      <c r="M832" s="2">
        <v>30</v>
      </c>
      <c r="N832" s="2">
        <v>0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v>0</v>
      </c>
      <c r="W832" s="2">
        <v>0</v>
      </c>
      <c r="X832" s="2">
        <v>872.6</v>
      </c>
    </row>
    <row r="833" spans="1:24" x14ac:dyDescent="0.25">
      <c r="G833" s="2" t="s">
        <v>1500</v>
      </c>
    </row>
    <row r="834" spans="1:24" x14ac:dyDescent="0.25">
      <c r="A834" s="2">
        <v>414</v>
      </c>
      <c r="B834" s="2">
        <v>11708</v>
      </c>
      <c r="C834" s="2" t="s">
        <v>1501</v>
      </c>
      <c r="D834" s="2" t="s">
        <v>1502</v>
      </c>
      <c r="E834" s="2" t="s">
        <v>51</v>
      </c>
      <c r="F834" s="2" t="s">
        <v>1503</v>
      </c>
      <c r="G834" s="2">
        <v>842.6</v>
      </c>
      <c r="H834" s="2">
        <v>0</v>
      </c>
      <c r="I834" s="2">
        <v>0</v>
      </c>
      <c r="J834" s="2">
        <v>0</v>
      </c>
      <c r="K834" s="2">
        <v>0</v>
      </c>
      <c r="L834" s="2">
        <v>0</v>
      </c>
      <c r="M834" s="2">
        <v>30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v>0</v>
      </c>
      <c r="W834" s="2">
        <v>0</v>
      </c>
      <c r="X834" s="2">
        <v>872.6</v>
      </c>
    </row>
    <row r="835" spans="1:24" x14ac:dyDescent="0.25">
      <c r="G835" s="2" t="s">
        <v>1504</v>
      </c>
    </row>
    <row r="836" spans="1:24" x14ac:dyDescent="0.25">
      <c r="A836" s="2">
        <v>415</v>
      </c>
      <c r="B836" s="2">
        <v>8034</v>
      </c>
      <c r="C836" s="2" t="s">
        <v>1505</v>
      </c>
      <c r="D836" s="2" t="s">
        <v>1506</v>
      </c>
      <c r="E836" s="2" t="s">
        <v>78</v>
      </c>
      <c r="F836" s="2" t="s">
        <v>1507</v>
      </c>
      <c r="G836" s="2">
        <v>842.6</v>
      </c>
      <c r="H836" s="2">
        <v>0</v>
      </c>
      <c r="I836" s="2">
        <v>0</v>
      </c>
      <c r="J836" s="2">
        <v>0</v>
      </c>
      <c r="K836" s="2">
        <v>0</v>
      </c>
      <c r="L836" s="2">
        <v>0</v>
      </c>
      <c r="M836" s="2">
        <v>30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v>0</v>
      </c>
      <c r="W836" s="2">
        <v>0</v>
      </c>
      <c r="X836" s="2">
        <v>872.6</v>
      </c>
    </row>
    <row r="837" spans="1:24" x14ac:dyDescent="0.25">
      <c r="G837" s="2" t="s">
        <v>1508</v>
      </c>
    </row>
    <row r="838" spans="1:24" x14ac:dyDescent="0.25">
      <c r="A838" s="2">
        <v>416</v>
      </c>
      <c r="B838" s="2">
        <v>16741</v>
      </c>
      <c r="C838" s="2" t="s">
        <v>1509</v>
      </c>
      <c r="D838" s="2" t="s">
        <v>248</v>
      </c>
      <c r="E838" s="2" t="s">
        <v>194</v>
      </c>
      <c r="F838" s="2" t="s">
        <v>1510</v>
      </c>
      <c r="G838" s="2">
        <v>801.9</v>
      </c>
      <c r="H838" s="2">
        <v>0</v>
      </c>
      <c r="I838" s="2">
        <v>0</v>
      </c>
      <c r="J838" s="2">
        <v>0</v>
      </c>
      <c r="K838" s="2">
        <v>0</v>
      </c>
      <c r="L838" s="2">
        <v>0</v>
      </c>
      <c r="M838" s="2">
        <v>70</v>
      </c>
      <c r="N838" s="2">
        <v>0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v>0</v>
      </c>
      <c r="W838" s="2">
        <v>0</v>
      </c>
      <c r="X838" s="2">
        <v>871.9</v>
      </c>
    </row>
    <row r="839" spans="1:24" x14ac:dyDescent="0.25">
      <c r="G839" s="2" t="s">
        <v>1511</v>
      </c>
    </row>
    <row r="840" spans="1:24" x14ac:dyDescent="0.25">
      <c r="A840" s="2">
        <v>417</v>
      </c>
      <c r="B840" s="2">
        <v>10258</v>
      </c>
      <c r="C840" s="2" t="s">
        <v>1512</v>
      </c>
      <c r="D840" s="2" t="s">
        <v>1513</v>
      </c>
      <c r="E840" s="2" t="s">
        <v>39</v>
      </c>
      <c r="F840" s="2" t="s">
        <v>1514</v>
      </c>
      <c r="G840" s="2">
        <v>801.9</v>
      </c>
      <c r="H840" s="2">
        <v>0</v>
      </c>
      <c r="I840" s="2">
        <v>0</v>
      </c>
      <c r="J840" s="2">
        <v>0</v>
      </c>
      <c r="K840" s="2">
        <v>0</v>
      </c>
      <c r="L840" s="2">
        <v>0</v>
      </c>
      <c r="M840" s="2">
        <v>70</v>
      </c>
      <c r="N840" s="2">
        <v>0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v>0</v>
      </c>
      <c r="W840" s="2">
        <v>0</v>
      </c>
      <c r="X840" s="2">
        <v>871.9</v>
      </c>
    </row>
    <row r="841" spans="1:24" x14ac:dyDescent="0.25">
      <c r="G841" s="2" t="s">
        <v>1515</v>
      </c>
    </row>
    <row r="842" spans="1:24" x14ac:dyDescent="0.25">
      <c r="A842" s="2">
        <v>418</v>
      </c>
      <c r="B842" s="2">
        <v>8989</v>
      </c>
      <c r="C842" s="2" t="s">
        <v>1516</v>
      </c>
      <c r="D842" s="2" t="s">
        <v>182</v>
      </c>
      <c r="E842" s="2" t="s">
        <v>342</v>
      </c>
      <c r="F842" s="2" t="s">
        <v>1517</v>
      </c>
      <c r="G842" s="2">
        <v>801.9</v>
      </c>
      <c r="H842" s="2">
        <v>0</v>
      </c>
      <c r="I842" s="2">
        <v>0</v>
      </c>
      <c r="J842" s="2">
        <v>0</v>
      </c>
      <c r="K842" s="2">
        <v>0</v>
      </c>
      <c r="L842" s="2">
        <v>0</v>
      </c>
      <c r="M842" s="2">
        <v>70</v>
      </c>
      <c r="N842" s="2">
        <v>0</v>
      </c>
      <c r="O842" s="2">
        <v>0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v>0</v>
      </c>
      <c r="W842" s="2">
        <v>1</v>
      </c>
      <c r="X842" s="2">
        <v>871.9</v>
      </c>
    </row>
    <row r="843" spans="1:24" x14ac:dyDescent="0.25">
      <c r="G843" s="2" t="s">
        <v>1518</v>
      </c>
    </row>
    <row r="844" spans="1:24" x14ac:dyDescent="0.25">
      <c r="A844" s="2">
        <v>419</v>
      </c>
      <c r="B844" s="2">
        <v>14701</v>
      </c>
      <c r="C844" s="2" t="s">
        <v>1519</v>
      </c>
      <c r="D844" s="2" t="s">
        <v>365</v>
      </c>
      <c r="E844" s="2" t="s">
        <v>148</v>
      </c>
      <c r="F844" s="2" t="s">
        <v>1520</v>
      </c>
      <c r="G844" s="2">
        <v>841.5</v>
      </c>
      <c r="H844" s="2">
        <v>0</v>
      </c>
      <c r="I844" s="2">
        <v>0</v>
      </c>
      <c r="J844" s="2">
        <v>0</v>
      </c>
      <c r="K844" s="2">
        <v>0</v>
      </c>
      <c r="L844" s="2">
        <v>0</v>
      </c>
      <c r="M844" s="2">
        <v>30</v>
      </c>
      <c r="N844" s="2">
        <v>0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v>0</v>
      </c>
      <c r="W844" s="2">
        <v>0</v>
      </c>
      <c r="X844" s="2">
        <v>871.5</v>
      </c>
    </row>
    <row r="845" spans="1:24" x14ac:dyDescent="0.25">
      <c r="G845" s="2" t="s">
        <v>1521</v>
      </c>
    </row>
    <row r="846" spans="1:24" x14ac:dyDescent="0.25">
      <c r="A846" s="2">
        <v>420</v>
      </c>
      <c r="B846" s="2">
        <v>1135</v>
      </c>
      <c r="C846" s="2" t="s">
        <v>1522</v>
      </c>
      <c r="D846" s="2" t="s">
        <v>1155</v>
      </c>
      <c r="E846" s="2" t="s">
        <v>73</v>
      </c>
      <c r="F846" s="2" t="s">
        <v>1523</v>
      </c>
      <c r="G846" s="2">
        <v>841.5</v>
      </c>
      <c r="H846" s="2">
        <v>0</v>
      </c>
      <c r="I846" s="2">
        <v>0</v>
      </c>
      <c r="J846" s="2">
        <v>0</v>
      </c>
      <c r="K846" s="2">
        <v>0</v>
      </c>
      <c r="L846" s="2">
        <v>0</v>
      </c>
      <c r="M846" s="2">
        <v>30</v>
      </c>
      <c r="N846" s="2">
        <v>0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v>0</v>
      </c>
      <c r="W846" s="2">
        <v>0</v>
      </c>
      <c r="X846" s="2">
        <v>871.5</v>
      </c>
    </row>
    <row r="847" spans="1:24" x14ac:dyDescent="0.25">
      <c r="G847" s="2" t="s">
        <v>1524</v>
      </c>
    </row>
    <row r="848" spans="1:24" x14ac:dyDescent="0.25">
      <c r="A848" s="2">
        <v>421</v>
      </c>
      <c r="B848" s="2">
        <v>11767</v>
      </c>
      <c r="C848" s="2" t="s">
        <v>1525</v>
      </c>
      <c r="D848" s="2" t="s">
        <v>284</v>
      </c>
      <c r="E848" s="2" t="s">
        <v>73</v>
      </c>
      <c r="F848" s="2" t="s">
        <v>1526</v>
      </c>
      <c r="G848" s="2">
        <v>871.2</v>
      </c>
      <c r="H848" s="2">
        <v>0</v>
      </c>
      <c r="I848" s="2">
        <v>0</v>
      </c>
      <c r="J848" s="2">
        <v>0</v>
      </c>
      <c r="K848" s="2">
        <v>0</v>
      </c>
      <c r="L848" s="2">
        <v>0</v>
      </c>
      <c r="M848" s="2">
        <v>0</v>
      </c>
      <c r="N848" s="2">
        <v>0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v>0</v>
      </c>
      <c r="W848" s="2">
        <v>0</v>
      </c>
      <c r="X848" s="2">
        <v>871.2</v>
      </c>
    </row>
    <row r="849" spans="1:24" x14ac:dyDescent="0.25">
      <c r="G849" s="2" t="s">
        <v>1527</v>
      </c>
    </row>
    <row r="850" spans="1:24" x14ac:dyDescent="0.25">
      <c r="A850" s="2">
        <v>422</v>
      </c>
      <c r="B850" s="2">
        <v>16563</v>
      </c>
      <c r="C850" s="2" t="s">
        <v>84</v>
      </c>
      <c r="D850" s="2" t="s">
        <v>1528</v>
      </c>
      <c r="E850" s="2" t="s">
        <v>148</v>
      </c>
      <c r="F850" s="2" t="s">
        <v>1529</v>
      </c>
      <c r="G850" s="2">
        <v>871.2</v>
      </c>
      <c r="H850" s="2">
        <v>0</v>
      </c>
      <c r="I850" s="2">
        <v>0</v>
      </c>
      <c r="J850" s="2">
        <v>0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v>0</v>
      </c>
      <c r="W850" s="2">
        <v>0</v>
      </c>
      <c r="X850" s="2">
        <v>871.2</v>
      </c>
    </row>
    <row r="851" spans="1:24" x14ac:dyDescent="0.25">
      <c r="G851" s="2" t="s">
        <v>1530</v>
      </c>
    </row>
    <row r="852" spans="1:24" x14ac:dyDescent="0.25">
      <c r="A852" s="2">
        <v>423</v>
      </c>
      <c r="B852" s="2">
        <v>3766</v>
      </c>
      <c r="C852" s="2" t="s">
        <v>1531</v>
      </c>
      <c r="D852" s="2" t="s">
        <v>248</v>
      </c>
      <c r="E852" s="2" t="s">
        <v>194</v>
      </c>
      <c r="F852" s="2" t="s">
        <v>1532</v>
      </c>
      <c r="G852" s="2">
        <v>840.4</v>
      </c>
      <c r="H852" s="2">
        <v>0</v>
      </c>
      <c r="I852" s="2">
        <v>0</v>
      </c>
      <c r="J852" s="2">
        <v>0</v>
      </c>
      <c r="K852" s="2">
        <v>0</v>
      </c>
      <c r="L852" s="2">
        <v>0</v>
      </c>
      <c r="M852" s="2">
        <v>30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v>0</v>
      </c>
      <c r="W852" s="2">
        <v>0</v>
      </c>
      <c r="X852" s="2">
        <v>870.4</v>
      </c>
    </row>
    <row r="853" spans="1:24" x14ac:dyDescent="0.25">
      <c r="G853" s="2" t="s">
        <v>1533</v>
      </c>
    </row>
    <row r="854" spans="1:24" x14ac:dyDescent="0.25">
      <c r="A854" s="2">
        <v>424</v>
      </c>
      <c r="B854" s="2">
        <v>13473</v>
      </c>
      <c r="C854" s="2" t="s">
        <v>1534</v>
      </c>
      <c r="D854" s="2" t="s">
        <v>235</v>
      </c>
      <c r="E854" s="2" t="s">
        <v>84</v>
      </c>
      <c r="F854" s="2" t="s">
        <v>1535</v>
      </c>
      <c r="G854" s="2">
        <v>840.4</v>
      </c>
      <c r="H854" s="2">
        <v>0</v>
      </c>
      <c r="I854" s="2">
        <v>0</v>
      </c>
      <c r="J854" s="2">
        <v>0</v>
      </c>
      <c r="K854" s="2">
        <v>0</v>
      </c>
      <c r="L854" s="2">
        <v>0</v>
      </c>
      <c r="M854" s="2">
        <v>30</v>
      </c>
      <c r="N854" s="2">
        <v>0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v>0</v>
      </c>
      <c r="W854" s="2">
        <v>0</v>
      </c>
      <c r="X854" s="2">
        <v>870.4</v>
      </c>
    </row>
    <row r="855" spans="1:24" x14ac:dyDescent="0.25">
      <c r="G855" s="2" t="s">
        <v>1536</v>
      </c>
    </row>
    <row r="856" spans="1:24" x14ac:dyDescent="0.25">
      <c r="A856" s="2">
        <v>425</v>
      </c>
      <c r="B856" s="2">
        <v>6</v>
      </c>
      <c r="C856" s="2" t="s">
        <v>1537</v>
      </c>
      <c r="D856" s="2" t="s">
        <v>456</v>
      </c>
      <c r="E856" s="2" t="s">
        <v>84</v>
      </c>
      <c r="F856" s="2" t="s">
        <v>1538</v>
      </c>
      <c r="G856" s="2">
        <v>840.4</v>
      </c>
      <c r="H856" s="2">
        <v>0</v>
      </c>
      <c r="I856" s="2">
        <v>0</v>
      </c>
      <c r="J856" s="2">
        <v>0</v>
      </c>
      <c r="K856" s="2">
        <v>0</v>
      </c>
      <c r="L856" s="2">
        <v>0</v>
      </c>
      <c r="M856" s="2">
        <v>30</v>
      </c>
      <c r="N856" s="2">
        <v>0</v>
      </c>
      <c r="O856" s="2">
        <v>0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v>0</v>
      </c>
      <c r="W856" s="2">
        <v>0</v>
      </c>
      <c r="X856" s="2">
        <v>870.4</v>
      </c>
    </row>
    <row r="857" spans="1:24" x14ac:dyDescent="0.25">
      <c r="G857" s="2" t="s">
        <v>1539</v>
      </c>
    </row>
    <row r="858" spans="1:24" x14ac:dyDescent="0.25">
      <c r="A858" s="2">
        <v>426</v>
      </c>
      <c r="B858" s="2">
        <v>6122</v>
      </c>
      <c r="C858" s="2" t="s">
        <v>1541</v>
      </c>
      <c r="D858" s="2" t="s">
        <v>902</v>
      </c>
      <c r="E858" s="2" t="s">
        <v>411</v>
      </c>
      <c r="F858" s="2" t="s">
        <v>1542</v>
      </c>
      <c r="G858" s="2">
        <v>870.1</v>
      </c>
      <c r="H858" s="2">
        <v>0</v>
      </c>
      <c r="I858" s="2">
        <v>0</v>
      </c>
      <c r="J858" s="2">
        <v>0</v>
      </c>
      <c r="K858" s="2">
        <v>0</v>
      </c>
      <c r="L858" s="2">
        <v>0</v>
      </c>
      <c r="M858" s="2">
        <v>0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v>0</v>
      </c>
      <c r="W858" s="2">
        <v>2</v>
      </c>
      <c r="X858" s="2">
        <v>870.1</v>
      </c>
    </row>
    <row r="859" spans="1:24" x14ac:dyDescent="0.25">
      <c r="G859" s="2" t="s">
        <v>1543</v>
      </c>
    </row>
    <row r="860" spans="1:24" x14ac:dyDescent="0.25">
      <c r="A860" s="2">
        <v>427</v>
      </c>
      <c r="B860" s="2">
        <v>10114</v>
      </c>
      <c r="C860" s="2" t="s">
        <v>1544</v>
      </c>
      <c r="D860" s="2" t="s">
        <v>777</v>
      </c>
      <c r="E860" s="2" t="s">
        <v>127</v>
      </c>
      <c r="F860" s="2" t="s">
        <v>1545</v>
      </c>
      <c r="G860" s="2">
        <v>799.7</v>
      </c>
      <c r="H860" s="2">
        <v>0</v>
      </c>
      <c r="I860" s="2">
        <v>0</v>
      </c>
      <c r="J860" s="2">
        <v>0</v>
      </c>
      <c r="K860" s="2">
        <v>0</v>
      </c>
      <c r="L860" s="2">
        <v>0</v>
      </c>
      <c r="M860" s="2">
        <v>70</v>
      </c>
      <c r="N860" s="2">
        <v>0</v>
      </c>
      <c r="O860" s="2">
        <v>0</v>
      </c>
      <c r="P860" s="2">
        <v>0</v>
      </c>
      <c r="Q860" s="2">
        <v>0</v>
      </c>
      <c r="R860" s="2">
        <v>0</v>
      </c>
      <c r="S860" s="2">
        <v>0</v>
      </c>
      <c r="T860" s="2">
        <v>0</v>
      </c>
      <c r="U860" s="2">
        <v>0</v>
      </c>
      <c r="W860" s="2">
        <v>0</v>
      </c>
      <c r="X860" s="2">
        <v>869.7</v>
      </c>
    </row>
    <row r="861" spans="1:24" x14ac:dyDescent="0.25">
      <c r="G861" s="2" t="s">
        <v>1546</v>
      </c>
    </row>
    <row r="862" spans="1:24" x14ac:dyDescent="0.25">
      <c r="A862" s="2">
        <v>428</v>
      </c>
      <c r="B862" s="2">
        <v>7659</v>
      </c>
      <c r="C862" s="2" t="s">
        <v>1258</v>
      </c>
      <c r="D862" s="2" t="s">
        <v>112</v>
      </c>
      <c r="E862" s="2" t="s">
        <v>73</v>
      </c>
      <c r="F862" s="2" t="s">
        <v>1547</v>
      </c>
      <c r="G862" s="2">
        <v>839.3</v>
      </c>
      <c r="H862" s="2">
        <v>0</v>
      </c>
      <c r="I862" s="2">
        <v>0</v>
      </c>
      <c r="J862" s="2">
        <v>0</v>
      </c>
      <c r="K862" s="2">
        <v>0</v>
      </c>
      <c r="L862" s="2">
        <v>0</v>
      </c>
      <c r="M862" s="2">
        <v>30</v>
      </c>
      <c r="N862" s="2">
        <v>0</v>
      </c>
      <c r="O862" s="2">
        <v>0</v>
      </c>
      <c r="P862" s="2">
        <v>0</v>
      </c>
      <c r="Q862" s="2">
        <v>0</v>
      </c>
      <c r="R862" s="2">
        <v>0</v>
      </c>
      <c r="S862" s="2">
        <v>0</v>
      </c>
      <c r="T862" s="2">
        <v>0</v>
      </c>
      <c r="U862" s="2">
        <v>0</v>
      </c>
      <c r="W862" s="2">
        <v>0</v>
      </c>
      <c r="X862" s="2">
        <v>869.3</v>
      </c>
    </row>
    <row r="863" spans="1:24" x14ac:dyDescent="0.25">
      <c r="G863" s="2" t="s">
        <v>1548</v>
      </c>
    </row>
    <row r="864" spans="1:24" x14ac:dyDescent="0.25">
      <c r="A864" s="2">
        <v>429</v>
      </c>
      <c r="B864" s="2">
        <v>6566</v>
      </c>
      <c r="C864" s="2" t="s">
        <v>1549</v>
      </c>
      <c r="D864" s="2" t="s">
        <v>182</v>
      </c>
      <c r="E864" s="2" t="s">
        <v>39</v>
      </c>
      <c r="F864" s="2" t="s">
        <v>1550</v>
      </c>
      <c r="G864" s="2">
        <v>839.3</v>
      </c>
      <c r="H864" s="2">
        <v>0</v>
      </c>
      <c r="I864" s="2">
        <v>0</v>
      </c>
      <c r="J864" s="2">
        <v>0</v>
      </c>
      <c r="K864" s="2">
        <v>0</v>
      </c>
      <c r="L864" s="2">
        <v>0</v>
      </c>
      <c r="M864" s="2">
        <v>30</v>
      </c>
      <c r="N864" s="2">
        <v>0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v>0</v>
      </c>
      <c r="W864" s="2">
        <v>0</v>
      </c>
      <c r="X864" s="2">
        <v>869.3</v>
      </c>
    </row>
    <row r="865" spans="1:24" x14ac:dyDescent="0.25">
      <c r="G865" s="2" t="s">
        <v>1551</v>
      </c>
    </row>
    <row r="866" spans="1:24" x14ac:dyDescent="0.25">
      <c r="A866" s="2">
        <v>430</v>
      </c>
      <c r="B866" s="2">
        <v>2487</v>
      </c>
      <c r="C866" s="2" t="s">
        <v>142</v>
      </c>
      <c r="D866" s="2" t="s">
        <v>112</v>
      </c>
      <c r="E866" s="2" t="s">
        <v>90</v>
      </c>
      <c r="F866" s="2" t="s">
        <v>1552</v>
      </c>
      <c r="G866" s="2">
        <v>818.4</v>
      </c>
      <c r="H866" s="2">
        <v>0</v>
      </c>
      <c r="I866" s="2">
        <v>0</v>
      </c>
      <c r="J866" s="2">
        <v>0</v>
      </c>
      <c r="K866" s="2">
        <v>0</v>
      </c>
      <c r="L866" s="2">
        <v>0</v>
      </c>
      <c r="M866" s="2">
        <v>50</v>
      </c>
      <c r="N866" s="2">
        <v>0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v>0</v>
      </c>
      <c r="W866" s="2">
        <v>0</v>
      </c>
      <c r="X866" s="2">
        <v>868.4</v>
      </c>
    </row>
    <row r="867" spans="1:24" x14ac:dyDescent="0.25">
      <c r="G867" s="2" t="s">
        <v>1553</v>
      </c>
    </row>
    <row r="868" spans="1:24" x14ac:dyDescent="0.25">
      <c r="A868" s="2">
        <v>431</v>
      </c>
      <c r="B868" s="2">
        <v>10738</v>
      </c>
      <c r="C868" s="2" t="s">
        <v>1554</v>
      </c>
      <c r="D868" s="2" t="s">
        <v>1125</v>
      </c>
      <c r="E868" s="2" t="s">
        <v>79</v>
      </c>
      <c r="F868" s="2" t="s">
        <v>1555</v>
      </c>
      <c r="G868" s="2">
        <v>838.2</v>
      </c>
      <c r="H868" s="2">
        <v>0</v>
      </c>
      <c r="I868" s="2">
        <v>0</v>
      </c>
      <c r="J868" s="2">
        <v>0</v>
      </c>
      <c r="K868" s="2">
        <v>0</v>
      </c>
      <c r="L868" s="2">
        <v>0</v>
      </c>
      <c r="M868" s="2">
        <v>30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v>0</v>
      </c>
      <c r="W868" s="2">
        <v>0</v>
      </c>
      <c r="X868" s="2">
        <v>868.2</v>
      </c>
    </row>
    <row r="869" spans="1:24" x14ac:dyDescent="0.25">
      <c r="G869" s="2" t="s">
        <v>1556</v>
      </c>
    </row>
    <row r="870" spans="1:24" x14ac:dyDescent="0.25">
      <c r="A870" s="2">
        <v>432</v>
      </c>
      <c r="B870" s="2">
        <v>16678</v>
      </c>
      <c r="C870" s="2" t="s">
        <v>112</v>
      </c>
      <c r="D870" s="2" t="s">
        <v>1557</v>
      </c>
      <c r="E870" s="2" t="s">
        <v>51</v>
      </c>
      <c r="F870" s="2" t="s">
        <v>1558</v>
      </c>
      <c r="G870" s="2">
        <v>838.2</v>
      </c>
      <c r="H870" s="2">
        <v>0</v>
      </c>
      <c r="I870" s="2">
        <v>0</v>
      </c>
      <c r="J870" s="2">
        <v>0</v>
      </c>
      <c r="K870" s="2">
        <v>0</v>
      </c>
      <c r="L870" s="2">
        <v>0</v>
      </c>
      <c r="M870" s="2">
        <v>30</v>
      </c>
      <c r="N870" s="2">
        <v>0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v>0</v>
      </c>
      <c r="W870" s="2">
        <v>0</v>
      </c>
      <c r="X870" s="2">
        <v>868.2</v>
      </c>
    </row>
    <row r="871" spans="1:24" x14ac:dyDescent="0.25">
      <c r="G871" s="2" t="s">
        <v>1559</v>
      </c>
    </row>
    <row r="872" spans="1:24" x14ac:dyDescent="0.25">
      <c r="A872" s="2">
        <v>433</v>
      </c>
      <c r="B872" s="2">
        <v>13941</v>
      </c>
      <c r="C872" s="2" t="s">
        <v>1361</v>
      </c>
      <c r="D872" s="2" t="s">
        <v>1560</v>
      </c>
      <c r="E872" s="2" t="s">
        <v>1561</v>
      </c>
      <c r="F872" s="2" t="s">
        <v>1562</v>
      </c>
      <c r="G872" s="2">
        <v>838.2</v>
      </c>
      <c r="H872" s="2">
        <v>0</v>
      </c>
      <c r="I872" s="2">
        <v>0</v>
      </c>
      <c r="J872" s="2">
        <v>0</v>
      </c>
      <c r="K872" s="2">
        <v>0</v>
      </c>
      <c r="L872" s="2">
        <v>0</v>
      </c>
      <c r="M872" s="2">
        <v>30</v>
      </c>
      <c r="N872" s="2">
        <v>0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v>0</v>
      </c>
      <c r="W872" s="2">
        <v>0</v>
      </c>
      <c r="X872" s="2">
        <v>868.2</v>
      </c>
    </row>
    <row r="873" spans="1:24" x14ac:dyDescent="0.25">
      <c r="G873" s="2" t="s">
        <v>1563</v>
      </c>
    </row>
    <row r="874" spans="1:24" x14ac:dyDescent="0.25">
      <c r="A874" s="2">
        <v>434</v>
      </c>
      <c r="B874" s="2">
        <v>5844</v>
      </c>
      <c r="C874" s="2" t="s">
        <v>1564</v>
      </c>
      <c r="D874" s="2" t="s">
        <v>475</v>
      </c>
      <c r="E874" s="2" t="s">
        <v>385</v>
      </c>
      <c r="F874" s="2" t="s">
        <v>1565</v>
      </c>
      <c r="G874" s="2">
        <v>867.9</v>
      </c>
      <c r="H874" s="2">
        <v>0</v>
      </c>
      <c r="I874" s="2">
        <v>0</v>
      </c>
      <c r="J874" s="2">
        <v>0</v>
      </c>
      <c r="K874" s="2">
        <v>0</v>
      </c>
      <c r="L874" s="2">
        <v>0</v>
      </c>
      <c r="M874" s="2">
        <v>0</v>
      </c>
      <c r="N874" s="2">
        <v>0</v>
      </c>
      <c r="O874" s="2">
        <v>0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v>0</v>
      </c>
      <c r="W874" s="2">
        <v>0</v>
      </c>
      <c r="X874" s="2">
        <v>867.9</v>
      </c>
    </row>
    <row r="875" spans="1:24" x14ac:dyDescent="0.25">
      <c r="G875" s="2" t="s">
        <v>1566</v>
      </c>
    </row>
    <row r="876" spans="1:24" x14ac:dyDescent="0.25">
      <c r="A876" s="2">
        <v>435</v>
      </c>
      <c r="B876" s="2">
        <v>8046</v>
      </c>
      <c r="C876" s="2" t="s">
        <v>1567</v>
      </c>
      <c r="D876" s="2" t="s">
        <v>1568</v>
      </c>
      <c r="E876" s="2" t="s">
        <v>73</v>
      </c>
      <c r="F876" s="2" t="s">
        <v>1569</v>
      </c>
      <c r="G876" s="2">
        <v>867.9</v>
      </c>
      <c r="H876" s="2">
        <v>0</v>
      </c>
      <c r="I876" s="2">
        <v>0</v>
      </c>
      <c r="J876" s="2">
        <v>0</v>
      </c>
      <c r="K876" s="2">
        <v>0</v>
      </c>
      <c r="L876" s="2">
        <v>0</v>
      </c>
      <c r="M876" s="2">
        <v>0</v>
      </c>
      <c r="N876" s="2">
        <v>0</v>
      </c>
      <c r="O876" s="2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v>0</v>
      </c>
      <c r="W876" s="2">
        <v>0</v>
      </c>
      <c r="X876" s="2">
        <v>867.9</v>
      </c>
    </row>
    <row r="877" spans="1:24" x14ac:dyDescent="0.25">
      <c r="G877" s="2" t="s">
        <v>1570</v>
      </c>
    </row>
    <row r="878" spans="1:24" x14ac:dyDescent="0.25">
      <c r="A878" s="2">
        <v>436</v>
      </c>
      <c r="B878" s="2">
        <v>12880</v>
      </c>
      <c r="C878" s="2" t="s">
        <v>1571</v>
      </c>
      <c r="D878" s="2" t="s">
        <v>112</v>
      </c>
      <c r="E878" s="2" t="s">
        <v>430</v>
      </c>
      <c r="F878" s="2" t="s">
        <v>1572</v>
      </c>
      <c r="G878" s="2">
        <v>807.4</v>
      </c>
      <c r="H878" s="2">
        <v>0</v>
      </c>
      <c r="I878" s="2">
        <v>0</v>
      </c>
      <c r="J878" s="2">
        <v>0</v>
      </c>
      <c r="K878" s="2">
        <v>0</v>
      </c>
      <c r="L878" s="2">
        <v>0</v>
      </c>
      <c r="M878" s="2">
        <v>30</v>
      </c>
      <c r="N878" s="2">
        <v>30</v>
      </c>
      <c r="O878" s="2">
        <v>0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v>0</v>
      </c>
      <c r="W878" s="2">
        <v>0</v>
      </c>
      <c r="X878" s="2">
        <v>867.4</v>
      </c>
    </row>
    <row r="879" spans="1:24" x14ac:dyDescent="0.25">
      <c r="G879" s="2" t="s">
        <v>1573</v>
      </c>
    </row>
    <row r="880" spans="1:24" x14ac:dyDescent="0.25">
      <c r="A880" s="2">
        <v>437</v>
      </c>
      <c r="B880" s="2">
        <v>9541</v>
      </c>
      <c r="C880" s="2" t="s">
        <v>1574</v>
      </c>
      <c r="D880" s="2" t="s">
        <v>1575</v>
      </c>
      <c r="E880" s="2" t="s">
        <v>51</v>
      </c>
      <c r="F880" s="2" t="s">
        <v>1576</v>
      </c>
      <c r="G880" s="2">
        <v>837.1</v>
      </c>
      <c r="H880" s="2">
        <v>0</v>
      </c>
      <c r="I880" s="2">
        <v>0</v>
      </c>
      <c r="J880" s="2">
        <v>0</v>
      </c>
      <c r="K880" s="2">
        <v>0</v>
      </c>
      <c r="L880" s="2">
        <v>0</v>
      </c>
      <c r="M880" s="2">
        <v>30</v>
      </c>
      <c r="N880" s="2">
        <v>0</v>
      </c>
      <c r="O880" s="2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v>0</v>
      </c>
      <c r="W880" s="2">
        <v>0</v>
      </c>
      <c r="X880" s="2">
        <v>867.1</v>
      </c>
    </row>
    <row r="881" spans="1:24" x14ac:dyDescent="0.25">
      <c r="G881" s="2" t="s">
        <v>1577</v>
      </c>
    </row>
    <row r="882" spans="1:24" x14ac:dyDescent="0.25">
      <c r="A882" s="2">
        <v>438</v>
      </c>
      <c r="B882" s="2">
        <v>9949</v>
      </c>
      <c r="C882" s="2" t="s">
        <v>1578</v>
      </c>
      <c r="D882" s="2" t="s">
        <v>235</v>
      </c>
      <c r="E882" s="2" t="s">
        <v>39</v>
      </c>
      <c r="F882" s="2" t="s">
        <v>1579</v>
      </c>
      <c r="G882" s="2">
        <v>837.1</v>
      </c>
      <c r="H882" s="2">
        <v>0</v>
      </c>
      <c r="I882" s="2">
        <v>0</v>
      </c>
      <c r="J882" s="2">
        <v>0</v>
      </c>
      <c r="K882" s="2">
        <v>0</v>
      </c>
      <c r="L882" s="2">
        <v>0</v>
      </c>
      <c r="M882" s="2">
        <v>30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v>0</v>
      </c>
      <c r="W882" s="2">
        <v>0</v>
      </c>
      <c r="X882" s="2">
        <v>867.1</v>
      </c>
    </row>
    <row r="883" spans="1:24" x14ac:dyDescent="0.25">
      <c r="G883" s="2" t="s">
        <v>1580</v>
      </c>
    </row>
    <row r="884" spans="1:24" x14ac:dyDescent="0.25">
      <c r="A884" s="2">
        <v>439</v>
      </c>
      <c r="B884" s="2">
        <v>9220</v>
      </c>
      <c r="C884" s="2" t="s">
        <v>1581</v>
      </c>
      <c r="D884" s="2" t="s">
        <v>248</v>
      </c>
      <c r="E884" s="2" t="s">
        <v>148</v>
      </c>
      <c r="F884" s="2" t="s">
        <v>1582</v>
      </c>
      <c r="G884" s="2">
        <v>837.1</v>
      </c>
      <c r="H884" s="2">
        <v>0</v>
      </c>
      <c r="I884" s="2">
        <v>0</v>
      </c>
      <c r="J884" s="2">
        <v>0</v>
      </c>
      <c r="K884" s="2">
        <v>0</v>
      </c>
      <c r="L884" s="2">
        <v>0</v>
      </c>
      <c r="M884" s="2">
        <v>30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v>0</v>
      </c>
      <c r="W884" s="2">
        <v>0</v>
      </c>
      <c r="X884" s="2">
        <v>867.1</v>
      </c>
    </row>
    <row r="885" spans="1:24" x14ac:dyDescent="0.25">
      <c r="G885" s="2" t="s">
        <v>1583</v>
      </c>
    </row>
    <row r="886" spans="1:24" x14ac:dyDescent="0.25">
      <c r="A886" s="2">
        <v>440</v>
      </c>
      <c r="B886" s="2">
        <v>15182</v>
      </c>
      <c r="C886" s="2" t="s">
        <v>1584</v>
      </c>
      <c r="D886" s="2" t="s">
        <v>730</v>
      </c>
      <c r="E886" s="2" t="s">
        <v>51</v>
      </c>
      <c r="F886" s="2" t="s">
        <v>1585</v>
      </c>
      <c r="G886" s="2">
        <v>866.8</v>
      </c>
      <c r="H886" s="2">
        <v>0</v>
      </c>
      <c r="I886" s="2">
        <v>0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v>0</v>
      </c>
      <c r="W886" s="2">
        <v>0</v>
      </c>
      <c r="X886" s="2">
        <v>866.8</v>
      </c>
    </row>
    <row r="887" spans="1:24" x14ac:dyDescent="0.25">
      <c r="G887" s="2" t="s">
        <v>1586</v>
      </c>
    </row>
    <row r="888" spans="1:24" x14ac:dyDescent="0.25">
      <c r="A888" s="2">
        <v>441</v>
      </c>
      <c r="B888" s="2">
        <v>7529</v>
      </c>
      <c r="C888" s="2" t="s">
        <v>1587</v>
      </c>
      <c r="D888" s="2" t="s">
        <v>1588</v>
      </c>
      <c r="E888" s="2" t="s">
        <v>240</v>
      </c>
      <c r="F888" s="2" t="s">
        <v>1589</v>
      </c>
      <c r="G888" s="2">
        <v>866.8</v>
      </c>
      <c r="H888" s="2">
        <v>0</v>
      </c>
      <c r="I888" s="2">
        <v>0</v>
      </c>
      <c r="J888" s="2">
        <v>0</v>
      </c>
      <c r="K888" s="2">
        <v>0</v>
      </c>
      <c r="L888" s="2">
        <v>0</v>
      </c>
      <c r="M888" s="2">
        <v>0</v>
      </c>
      <c r="N888" s="2">
        <v>0</v>
      </c>
      <c r="O888" s="2">
        <v>0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v>0</v>
      </c>
      <c r="W888" s="2">
        <v>0</v>
      </c>
      <c r="X888" s="2">
        <v>866.8</v>
      </c>
    </row>
    <row r="889" spans="1:24" x14ac:dyDescent="0.25">
      <c r="G889" s="2" t="s">
        <v>1590</v>
      </c>
    </row>
    <row r="890" spans="1:24" x14ac:dyDescent="0.25">
      <c r="A890" s="2">
        <v>442</v>
      </c>
      <c r="B890" s="2">
        <v>12529</v>
      </c>
      <c r="C890" s="2" t="s">
        <v>1591</v>
      </c>
      <c r="D890" s="2" t="s">
        <v>248</v>
      </c>
      <c r="E890" s="2" t="s">
        <v>113</v>
      </c>
      <c r="F890" s="2" t="s">
        <v>1592</v>
      </c>
      <c r="G890" s="2">
        <v>806.3</v>
      </c>
      <c r="H890" s="2">
        <v>0</v>
      </c>
      <c r="I890" s="2">
        <v>0</v>
      </c>
      <c r="J890" s="2">
        <v>0</v>
      </c>
      <c r="K890" s="2">
        <v>0</v>
      </c>
      <c r="L890" s="2">
        <v>0</v>
      </c>
      <c r="M890" s="2">
        <v>30</v>
      </c>
      <c r="N890" s="2">
        <v>0</v>
      </c>
      <c r="O890" s="2">
        <v>0</v>
      </c>
      <c r="P890" s="2">
        <v>0</v>
      </c>
      <c r="Q890" s="2">
        <v>30</v>
      </c>
      <c r="R890" s="2">
        <v>0</v>
      </c>
      <c r="S890" s="2">
        <v>0</v>
      </c>
      <c r="T890" s="2">
        <v>0</v>
      </c>
      <c r="U890" s="2">
        <v>0</v>
      </c>
      <c r="W890" s="2">
        <v>0</v>
      </c>
      <c r="X890" s="2">
        <v>866.3</v>
      </c>
    </row>
    <row r="891" spans="1:24" x14ac:dyDescent="0.25">
      <c r="G891" s="2" t="s">
        <v>1593</v>
      </c>
    </row>
    <row r="892" spans="1:24" x14ac:dyDescent="0.25">
      <c r="A892" s="2">
        <v>443</v>
      </c>
      <c r="B892" s="2">
        <v>1553</v>
      </c>
      <c r="C892" s="2" t="s">
        <v>1594</v>
      </c>
      <c r="D892" s="2" t="s">
        <v>1595</v>
      </c>
      <c r="E892" s="2" t="s">
        <v>73</v>
      </c>
      <c r="F892" s="2" t="s">
        <v>1596</v>
      </c>
      <c r="G892" s="2">
        <v>836</v>
      </c>
      <c r="H892" s="2">
        <v>0</v>
      </c>
      <c r="I892" s="2">
        <v>0</v>
      </c>
      <c r="J892" s="2">
        <v>0</v>
      </c>
      <c r="K892" s="2">
        <v>0</v>
      </c>
      <c r="L892" s="2">
        <v>0</v>
      </c>
      <c r="M892" s="2">
        <v>30</v>
      </c>
      <c r="N892" s="2">
        <v>0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v>0</v>
      </c>
      <c r="W892" s="2">
        <v>0</v>
      </c>
      <c r="X892" s="2">
        <v>866</v>
      </c>
    </row>
    <row r="893" spans="1:24" x14ac:dyDescent="0.25">
      <c r="G893" s="2" t="s">
        <v>1597</v>
      </c>
    </row>
    <row r="894" spans="1:24" x14ac:dyDescent="0.25">
      <c r="A894" s="2">
        <v>444</v>
      </c>
      <c r="B894" s="2">
        <v>6668</v>
      </c>
      <c r="C894" s="2" t="s">
        <v>1598</v>
      </c>
      <c r="D894" s="2" t="s">
        <v>279</v>
      </c>
      <c r="E894" s="2" t="s">
        <v>90</v>
      </c>
      <c r="F894" s="2" t="s">
        <v>1599</v>
      </c>
      <c r="G894" s="2">
        <v>836</v>
      </c>
      <c r="H894" s="2">
        <v>0</v>
      </c>
      <c r="I894" s="2">
        <v>0</v>
      </c>
      <c r="J894" s="2">
        <v>0</v>
      </c>
      <c r="K894" s="2">
        <v>0</v>
      </c>
      <c r="L894" s="2">
        <v>0</v>
      </c>
      <c r="M894" s="2">
        <v>0</v>
      </c>
      <c r="N894" s="2">
        <v>30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v>0</v>
      </c>
      <c r="W894" s="2">
        <v>0</v>
      </c>
      <c r="X894" s="2">
        <v>866</v>
      </c>
    </row>
    <row r="895" spans="1:24" x14ac:dyDescent="0.25">
      <c r="G895" s="2" t="s">
        <v>1600</v>
      </c>
    </row>
    <row r="896" spans="1:24" x14ac:dyDescent="0.25">
      <c r="A896" s="2">
        <v>445</v>
      </c>
      <c r="B896" s="2">
        <v>6880</v>
      </c>
      <c r="C896" s="2" t="s">
        <v>1601</v>
      </c>
      <c r="D896" s="2" t="s">
        <v>194</v>
      </c>
      <c r="E896" s="2" t="s">
        <v>16</v>
      </c>
      <c r="F896" s="2" t="s">
        <v>1602</v>
      </c>
      <c r="G896" s="2">
        <v>836</v>
      </c>
      <c r="H896" s="2">
        <v>0</v>
      </c>
      <c r="I896" s="2">
        <v>0</v>
      </c>
      <c r="J896" s="2">
        <v>0</v>
      </c>
      <c r="K896" s="2">
        <v>0</v>
      </c>
      <c r="L896" s="2">
        <v>0</v>
      </c>
      <c r="M896" s="2">
        <v>30</v>
      </c>
      <c r="N896" s="2">
        <v>0</v>
      </c>
      <c r="O896" s="2">
        <v>0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  <c r="U896" s="2">
        <v>0</v>
      </c>
      <c r="W896" s="2">
        <v>0</v>
      </c>
      <c r="X896" s="2">
        <v>866</v>
      </c>
    </row>
    <row r="897" spans="1:24" x14ac:dyDescent="0.25">
      <c r="G897" s="2" t="s">
        <v>1603</v>
      </c>
    </row>
    <row r="898" spans="1:24" x14ac:dyDescent="0.25">
      <c r="A898" s="2">
        <v>446</v>
      </c>
      <c r="B898" s="2">
        <v>7608</v>
      </c>
      <c r="C898" s="2" t="s">
        <v>1604</v>
      </c>
      <c r="D898" s="2" t="s">
        <v>170</v>
      </c>
      <c r="E898" s="2" t="s">
        <v>194</v>
      </c>
      <c r="F898" s="2" t="s">
        <v>1605</v>
      </c>
      <c r="G898" s="2">
        <v>836</v>
      </c>
      <c r="H898" s="2">
        <v>0</v>
      </c>
      <c r="I898" s="2">
        <v>0</v>
      </c>
      <c r="J898" s="2">
        <v>0</v>
      </c>
      <c r="K898" s="2">
        <v>0</v>
      </c>
      <c r="L898" s="2">
        <v>0</v>
      </c>
      <c r="M898" s="2">
        <v>30</v>
      </c>
      <c r="N898" s="2">
        <v>0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v>0</v>
      </c>
      <c r="W898" s="2">
        <v>0</v>
      </c>
      <c r="X898" s="2">
        <v>866</v>
      </c>
    </row>
    <row r="899" spans="1:24" x14ac:dyDescent="0.25">
      <c r="G899" s="2" t="s">
        <v>1606</v>
      </c>
    </row>
    <row r="900" spans="1:24" x14ac:dyDescent="0.25">
      <c r="A900" s="2">
        <v>447</v>
      </c>
      <c r="B900" s="2">
        <v>8369</v>
      </c>
      <c r="C900" s="2" t="s">
        <v>1232</v>
      </c>
      <c r="D900" s="2" t="s">
        <v>39</v>
      </c>
      <c r="E900" s="2" t="s">
        <v>90</v>
      </c>
      <c r="F900" s="2" t="s">
        <v>1607</v>
      </c>
      <c r="G900" s="2">
        <v>865.7</v>
      </c>
      <c r="H900" s="2">
        <v>0</v>
      </c>
      <c r="I900" s="2">
        <v>0</v>
      </c>
      <c r="J900" s="2">
        <v>0</v>
      </c>
      <c r="K900" s="2">
        <v>0</v>
      </c>
      <c r="L900" s="2">
        <v>0</v>
      </c>
      <c r="M900" s="2">
        <v>0</v>
      </c>
      <c r="N900" s="2">
        <v>0</v>
      </c>
      <c r="O900" s="2">
        <v>0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v>0</v>
      </c>
      <c r="W900" s="2">
        <v>0</v>
      </c>
      <c r="X900" s="2">
        <v>865.7</v>
      </c>
    </row>
    <row r="901" spans="1:24" x14ac:dyDescent="0.25">
      <c r="G901" s="2" t="s">
        <v>1608</v>
      </c>
    </row>
    <row r="902" spans="1:24" x14ac:dyDescent="0.25">
      <c r="A902" s="2">
        <v>448</v>
      </c>
      <c r="B902" s="2">
        <v>9699</v>
      </c>
      <c r="C902" s="2" t="s">
        <v>1609</v>
      </c>
      <c r="D902" s="2" t="s">
        <v>1610</v>
      </c>
      <c r="E902" s="2" t="s">
        <v>51</v>
      </c>
      <c r="F902" s="2" t="s">
        <v>1611</v>
      </c>
      <c r="G902" s="2">
        <v>795.3</v>
      </c>
      <c r="H902" s="2">
        <v>0</v>
      </c>
      <c r="I902" s="2">
        <v>0</v>
      </c>
      <c r="J902" s="2">
        <v>0</v>
      </c>
      <c r="K902" s="2">
        <v>0</v>
      </c>
      <c r="L902" s="2">
        <v>0</v>
      </c>
      <c r="M902" s="2">
        <v>70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v>0</v>
      </c>
      <c r="W902" s="2">
        <v>0</v>
      </c>
      <c r="X902" s="2">
        <v>865.3</v>
      </c>
    </row>
    <row r="903" spans="1:24" x14ac:dyDescent="0.25">
      <c r="G903" s="2" t="s">
        <v>1612</v>
      </c>
    </row>
    <row r="904" spans="1:24" x14ac:dyDescent="0.25">
      <c r="A904" s="2">
        <v>449</v>
      </c>
      <c r="B904" s="2">
        <v>1991</v>
      </c>
      <c r="C904" s="2" t="s">
        <v>1613</v>
      </c>
      <c r="D904" s="2" t="s">
        <v>235</v>
      </c>
      <c r="E904" s="2" t="s">
        <v>90</v>
      </c>
      <c r="F904" s="2" t="s">
        <v>1614</v>
      </c>
      <c r="G904" s="2">
        <v>815.1</v>
      </c>
      <c r="H904" s="2">
        <v>0</v>
      </c>
      <c r="I904" s="2">
        <v>0</v>
      </c>
      <c r="J904" s="2">
        <v>0</v>
      </c>
      <c r="K904" s="2">
        <v>0</v>
      </c>
      <c r="L904" s="2">
        <v>0</v>
      </c>
      <c r="M904" s="2">
        <v>50</v>
      </c>
      <c r="N904" s="2">
        <v>0</v>
      </c>
      <c r="O904" s="2">
        <v>0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v>0</v>
      </c>
      <c r="W904" s="2">
        <v>0</v>
      </c>
      <c r="X904" s="2">
        <v>865.1</v>
      </c>
    </row>
    <row r="905" spans="1:24" x14ac:dyDescent="0.25">
      <c r="G905" s="2" t="s">
        <v>1615</v>
      </c>
    </row>
    <row r="906" spans="1:24" x14ac:dyDescent="0.25">
      <c r="A906" s="2">
        <v>450</v>
      </c>
      <c r="B906" s="2">
        <v>14976</v>
      </c>
      <c r="C906" s="2" t="s">
        <v>1616</v>
      </c>
      <c r="D906" s="2" t="s">
        <v>1125</v>
      </c>
      <c r="E906" s="2" t="s">
        <v>144</v>
      </c>
      <c r="F906" s="2" t="s">
        <v>1617</v>
      </c>
      <c r="G906" s="2">
        <v>834.9</v>
      </c>
      <c r="H906" s="2">
        <v>0</v>
      </c>
      <c r="I906" s="2">
        <v>0</v>
      </c>
      <c r="J906" s="2">
        <v>0</v>
      </c>
      <c r="K906" s="2">
        <v>0</v>
      </c>
      <c r="L906" s="2">
        <v>0</v>
      </c>
      <c r="M906" s="2">
        <v>30</v>
      </c>
      <c r="N906" s="2">
        <v>0</v>
      </c>
      <c r="O906" s="2">
        <v>0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v>0</v>
      </c>
      <c r="W906" s="2">
        <v>0</v>
      </c>
      <c r="X906" s="2">
        <v>864.9</v>
      </c>
    </row>
    <row r="907" spans="1:24" x14ac:dyDescent="0.25">
      <c r="G907" s="2" t="s">
        <v>1618</v>
      </c>
    </row>
    <row r="908" spans="1:24" x14ac:dyDescent="0.25">
      <c r="A908" s="2">
        <v>451</v>
      </c>
      <c r="B908" s="2">
        <v>15200</v>
      </c>
      <c r="C908" s="2" t="s">
        <v>1619</v>
      </c>
      <c r="D908" s="2" t="s">
        <v>829</v>
      </c>
      <c r="E908" s="2" t="s">
        <v>108</v>
      </c>
      <c r="F908" s="2" t="s">
        <v>1620</v>
      </c>
      <c r="G908" s="2">
        <v>834.9</v>
      </c>
      <c r="H908" s="2">
        <v>0</v>
      </c>
      <c r="I908" s="2">
        <v>0</v>
      </c>
      <c r="J908" s="2">
        <v>0</v>
      </c>
      <c r="K908" s="2">
        <v>0</v>
      </c>
      <c r="L908" s="2">
        <v>0</v>
      </c>
      <c r="M908" s="2">
        <v>30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v>0</v>
      </c>
      <c r="W908" s="2">
        <v>0</v>
      </c>
      <c r="X908" s="2">
        <v>864.9</v>
      </c>
    </row>
    <row r="909" spans="1:24" x14ac:dyDescent="0.25">
      <c r="G909" s="2" t="s">
        <v>1621</v>
      </c>
    </row>
    <row r="910" spans="1:24" x14ac:dyDescent="0.25">
      <c r="A910" s="2">
        <v>452</v>
      </c>
      <c r="B910" s="2">
        <v>15369</v>
      </c>
      <c r="C910" s="2" t="s">
        <v>550</v>
      </c>
      <c r="D910" s="2" t="s">
        <v>1622</v>
      </c>
      <c r="E910" s="2" t="s">
        <v>1623</v>
      </c>
      <c r="F910" s="2" t="s">
        <v>1624</v>
      </c>
      <c r="G910" s="2">
        <v>833.8</v>
      </c>
      <c r="H910" s="2">
        <v>0</v>
      </c>
      <c r="I910" s="2">
        <v>0</v>
      </c>
      <c r="J910" s="2">
        <v>0</v>
      </c>
      <c r="K910" s="2">
        <v>0</v>
      </c>
      <c r="L910" s="2">
        <v>0</v>
      </c>
      <c r="M910" s="2">
        <v>30</v>
      </c>
      <c r="N910" s="2">
        <v>0</v>
      </c>
      <c r="O910" s="2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  <c r="U910" s="2">
        <v>0</v>
      </c>
      <c r="W910" s="2">
        <v>0</v>
      </c>
      <c r="X910" s="2">
        <v>863.8</v>
      </c>
    </row>
    <row r="911" spans="1:24" x14ac:dyDescent="0.25">
      <c r="G911" s="2" t="s">
        <v>1625</v>
      </c>
    </row>
    <row r="912" spans="1:24" x14ac:dyDescent="0.25">
      <c r="A912" s="2">
        <v>453</v>
      </c>
      <c r="B912" s="2">
        <v>11515</v>
      </c>
      <c r="C912" s="2" t="s">
        <v>1626</v>
      </c>
      <c r="D912" s="2" t="s">
        <v>1560</v>
      </c>
      <c r="E912" s="2" t="s">
        <v>122</v>
      </c>
      <c r="F912" s="2" t="s">
        <v>1627</v>
      </c>
      <c r="G912" s="2">
        <v>833.8</v>
      </c>
      <c r="H912" s="2">
        <v>0</v>
      </c>
      <c r="I912" s="2">
        <v>0</v>
      </c>
      <c r="J912" s="2">
        <v>0</v>
      </c>
      <c r="K912" s="2">
        <v>0</v>
      </c>
      <c r="L912" s="2">
        <v>0</v>
      </c>
      <c r="M912" s="2">
        <v>30</v>
      </c>
      <c r="N912" s="2">
        <v>0</v>
      </c>
      <c r="O912" s="2">
        <v>0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v>0</v>
      </c>
      <c r="W912" s="2">
        <v>0</v>
      </c>
      <c r="X912" s="2">
        <v>863.8</v>
      </c>
    </row>
    <row r="913" spans="1:24" x14ac:dyDescent="0.25">
      <c r="G913" s="2" t="s">
        <v>1628</v>
      </c>
    </row>
    <row r="914" spans="1:24" x14ac:dyDescent="0.25">
      <c r="A914" s="2">
        <v>454</v>
      </c>
      <c r="B914" s="2">
        <v>9233</v>
      </c>
      <c r="C914" s="2" t="s">
        <v>1629</v>
      </c>
      <c r="D914" s="2" t="s">
        <v>314</v>
      </c>
      <c r="E914" s="2" t="s">
        <v>16</v>
      </c>
      <c r="F914" s="2" t="s">
        <v>1630</v>
      </c>
      <c r="G914" s="2">
        <v>863.5</v>
      </c>
      <c r="H914" s="2">
        <v>0</v>
      </c>
      <c r="I914" s="2">
        <v>0</v>
      </c>
      <c r="J914" s="2">
        <v>0</v>
      </c>
      <c r="K914" s="2">
        <v>0</v>
      </c>
      <c r="L914" s="2">
        <v>0</v>
      </c>
      <c r="M914" s="2">
        <v>0</v>
      </c>
      <c r="N914" s="2">
        <v>0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v>0</v>
      </c>
      <c r="W914" s="2">
        <v>0</v>
      </c>
      <c r="X914" s="2">
        <v>863.5</v>
      </c>
    </row>
    <row r="915" spans="1:24" x14ac:dyDescent="0.25">
      <c r="G915" s="2" t="s">
        <v>1631</v>
      </c>
    </row>
    <row r="916" spans="1:24" x14ac:dyDescent="0.25">
      <c r="A916" s="2">
        <v>455</v>
      </c>
      <c r="B916" s="2">
        <v>9656</v>
      </c>
      <c r="C916" s="2" t="s">
        <v>1632</v>
      </c>
      <c r="D916" s="2" t="s">
        <v>182</v>
      </c>
      <c r="E916" s="2" t="s">
        <v>165</v>
      </c>
      <c r="F916" s="2" t="s">
        <v>1633</v>
      </c>
      <c r="G916" s="2">
        <v>863.5</v>
      </c>
      <c r="H916" s="2">
        <v>0</v>
      </c>
      <c r="I916" s="2">
        <v>0</v>
      </c>
      <c r="J916" s="2">
        <v>0</v>
      </c>
      <c r="K916" s="2">
        <v>0</v>
      </c>
      <c r="L916" s="2">
        <v>0</v>
      </c>
      <c r="M916" s="2">
        <v>0</v>
      </c>
      <c r="N916" s="2">
        <v>0</v>
      </c>
      <c r="O916" s="2">
        <v>0</v>
      </c>
      <c r="P916" s="2">
        <v>0</v>
      </c>
      <c r="Q916" s="2">
        <v>0</v>
      </c>
      <c r="R916" s="2">
        <v>0</v>
      </c>
      <c r="S916" s="2">
        <v>0</v>
      </c>
      <c r="T916" s="2">
        <v>0</v>
      </c>
      <c r="U916" s="2">
        <v>0</v>
      </c>
      <c r="W916" s="2">
        <v>1</v>
      </c>
      <c r="X916" s="2">
        <v>863.5</v>
      </c>
    </row>
    <row r="917" spans="1:24" x14ac:dyDescent="0.25">
      <c r="G917" s="2" t="s">
        <v>1634</v>
      </c>
    </row>
    <row r="918" spans="1:24" x14ac:dyDescent="0.25">
      <c r="A918" s="2">
        <v>456</v>
      </c>
      <c r="B918" s="2">
        <v>10447</v>
      </c>
      <c r="C918" s="2" t="s">
        <v>1635</v>
      </c>
      <c r="D918" s="2" t="s">
        <v>1636</v>
      </c>
      <c r="E918" s="2" t="s">
        <v>73</v>
      </c>
      <c r="F918" s="2" t="s">
        <v>1637</v>
      </c>
      <c r="G918" s="2">
        <v>793.1</v>
      </c>
      <c r="H918" s="2">
        <v>0</v>
      </c>
      <c r="I918" s="2">
        <v>0</v>
      </c>
      <c r="J918" s="2">
        <v>0</v>
      </c>
      <c r="K918" s="2">
        <v>0</v>
      </c>
      <c r="L918" s="2">
        <v>0</v>
      </c>
      <c r="M918" s="2">
        <v>70</v>
      </c>
      <c r="N918" s="2">
        <v>0</v>
      </c>
      <c r="O918" s="2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v>0</v>
      </c>
      <c r="W918" s="2">
        <v>0</v>
      </c>
      <c r="X918" s="2">
        <v>863.1</v>
      </c>
    </row>
    <row r="919" spans="1:24" x14ac:dyDescent="0.25">
      <c r="G919" s="2" t="s">
        <v>1638</v>
      </c>
    </row>
    <row r="920" spans="1:24" x14ac:dyDescent="0.25">
      <c r="A920" s="2">
        <v>457</v>
      </c>
      <c r="B920" s="2">
        <v>8875</v>
      </c>
      <c r="C920" s="2" t="s">
        <v>1639</v>
      </c>
      <c r="D920" s="2" t="s">
        <v>56</v>
      </c>
      <c r="E920" s="2" t="s">
        <v>1264</v>
      </c>
      <c r="F920" s="2" t="s">
        <v>1640</v>
      </c>
      <c r="G920" s="2">
        <v>832.7</v>
      </c>
      <c r="H920" s="2">
        <v>0</v>
      </c>
      <c r="I920" s="2">
        <v>0</v>
      </c>
      <c r="J920" s="2">
        <v>0</v>
      </c>
      <c r="K920" s="2">
        <v>0</v>
      </c>
      <c r="L920" s="2">
        <v>0</v>
      </c>
      <c r="M920" s="2">
        <v>30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v>0</v>
      </c>
      <c r="W920" s="2">
        <v>0</v>
      </c>
      <c r="X920" s="2">
        <v>862.7</v>
      </c>
    </row>
    <row r="921" spans="1:24" x14ac:dyDescent="0.25">
      <c r="G921" s="2" t="s">
        <v>1641</v>
      </c>
    </row>
    <row r="922" spans="1:24" x14ac:dyDescent="0.25">
      <c r="A922" s="2">
        <v>458</v>
      </c>
      <c r="B922" s="2">
        <v>7563</v>
      </c>
      <c r="C922" s="2" t="s">
        <v>1642</v>
      </c>
      <c r="D922" s="2" t="s">
        <v>170</v>
      </c>
      <c r="E922" s="2" t="s">
        <v>165</v>
      </c>
      <c r="F922" s="2" t="s">
        <v>1643</v>
      </c>
      <c r="G922" s="2">
        <v>832.7</v>
      </c>
      <c r="H922" s="2">
        <v>0</v>
      </c>
      <c r="I922" s="2">
        <v>0</v>
      </c>
      <c r="J922" s="2">
        <v>0</v>
      </c>
      <c r="K922" s="2">
        <v>0</v>
      </c>
      <c r="L922" s="2">
        <v>0</v>
      </c>
      <c r="M922" s="2">
        <v>30</v>
      </c>
      <c r="N922" s="2">
        <v>0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v>0</v>
      </c>
      <c r="W922" s="2">
        <v>0</v>
      </c>
      <c r="X922" s="2">
        <v>862.7</v>
      </c>
    </row>
    <row r="923" spans="1:24" x14ac:dyDescent="0.25">
      <c r="G923" s="2" t="s">
        <v>1644</v>
      </c>
    </row>
    <row r="924" spans="1:24" x14ac:dyDescent="0.25">
      <c r="A924" s="2">
        <v>459</v>
      </c>
      <c r="B924" s="2">
        <v>8857</v>
      </c>
      <c r="C924" s="2" t="s">
        <v>1645</v>
      </c>
      <c r="D924" s="2" t="s">
        <v>1646</v>
      </c>
      <c r="E924" s="2" t="s">
        <v>51</v>
      </c>
      <c r="F924" s="2" t="s">
        <v>1647</v>
      </c>
      <c r="G924" s="2">
        <v>832.7</v>
      </c>
      <c r="H924" s="2">
        <v>0</v>
      </c>
      <c r="I924" s="2">
        <v>0</v>
      </c>
      <c r="J924" s="2">
        <v>0</v>
      </c>
      <c r="K924" s="2">
        <v>0</v>
      </c>
      <c r="L924" s="2">
        <v>0</v>
      </c>
      <c r="M924" s="2">
        <v>30</v>
      </c>
      <c r="N924" s="2">
        <v>0</v>
      </c>
      <c r="O924" s="2">
        <v>0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v>0</v>
      </c>
      <c r="W924" s="2">
        <v>0</v>
      </c>
      <c r="X924" s="2">
        <v>862.7</v>
      </c>
    </row>
    <row r="925" spans="1:24" x14ac:dyDescent="0.25">
      <c r="G925" s="2" t="s">
        <v>1648</v>
      </c>
    </row>
    <row r="926" spans="1:24" x14ac:dyDescent="0.25">
      <c r="A926" s="2">
        <v>460</v>
      </c>
      <c r="B926" s="2">
        <v>2496</v>
      </c>
      <c r="C926" s="2" t="s">
        <v>1649</v>
      </c>
      <c r="D926" s="2" t="s">
        <v>67</v>
      </c>
      <c r="E926" s="2" t="s">
        <v>268</v>
      </c>
      <c r="F926" s="2" t="s">
        <v>1650</v>
      </c>
      <c r="G926" s="2">
        <v>862.4</v>
      </c>
      <c r="H926" s="2">
        <v>0</v>
      </c>
      <c r="I926" s="2">
        <v>0</v>
      </c>
      <c r="J926" s="2">
        <v>0</v>
      </c>
      <c r="K926" s="2">
        <v>0</v>
      </c>
      <c r="L926" s="2">
        <v>0</v>
      </c>
      <c r="M926" s="2">
        <v>0</v>
      </c>
      <c r="N926" s="2">
        <v>0</v>
      </c>
      <c r="O926" s="2">
        <v>0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v>0</v>
      </c>
      <c r="W926" s="2">
        <v>0</v>
      </c>
      <c r="X926" s="2">
        <v>862.4</v>
      </c>
    </row>
    <row r="927" spans="1:24" x14ac:dyDescent="0.25">
      <c r="G927" s="2" t="s">
        <v>1651</v>
      </c>
    </row>
    <row r="928" spans="1:24" x14ac:dyDescent="0.25">
      <c r="A928" s="2">
        <v>461</v>
      </c>
      <c r="B928" s="2">
        <v>1600</v>
      </c>
      <c r="C928" s="2" t="s">
        <v>1652</v>
      </c>
      <c r="D928" s="2" t="s">
        <v>1653</v>
      </c>
      <c r="E928" s="2" t="s">
        <v>1654</v>
      </c>
      <c r="F928" s="2" t="s">
        <v>1655</v>
      </c>
      <c r="G928" s="2">
        <v>762.3</v>
      </c>
      <c r="H928" s="2">
        <v>0</v>
      </c>
      <c r="I928" s="2">
        <v>0</v>
      </c>
      <c r="J928" s="2">
        <v>0</v>
      </c>
      <c r="K928" s="2">
        <v>0</v>
      </c>
      <c r="L928" s="2">
        <v>0</v>
      </c>
      <c r="M928" s="2">
        <v>50</v>
      </c>
      <c r="N928" s="2">
        <v>50</v>
      </c>
      <c r="O928" s="2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v>0</v>
      </c>
      <c r="W928" s="2">
        <v>0</v>
      </c>
      <c r="X928" s="2">
        <v>862.3</v>
      </c>
    </row>
    <row r="929" spans="1:24" x14ac:dyDescent="0.25">
      <c r="G929" s="2" t="s">
        <v>1656</v>
      </c>
    </row>
    <row r="930" spans="1:24" x14ac:dyDescent="0.25">
      <c r="A930" s="2">
        <v>462</v>
      </c>
      <c r="B930" s="2">
        <v>5415</v>
      </c>
      <c r="C930" s="2" t="s">
        <v>1657</v>
      </c>
      <c r="D930" s="2" t="s">
        <v>138</v>
      </c>
      <c r="E930" s="2" t="s">
        <v>51</v>
      </c>
      <c r="F930" s="2" t="s">
        <v>1658</v>
      </c>
      <c r="G930" s="2">
        <v>792</v>
      </c>
      <c r="H930" s="2">
        <v>0</v>
      </c>
      <c r="I930" s="2">
        <v>0</v>
      </c>
      <c r="J930" s="2">
        <v>0</v>
      </c>
      <c r="K930" s="2">
        <v>0</v>
      </c>
      <c r="L930" s="2">
        <v>0</v>
      </c>
      <c r="M930" s="2">
        <v>70</v>
      </c>
      <c r="N930" s="2">
        <v>0</v>
      </c>
      <c r="O930" s="2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v>0</v>
      </c>
      <c r="W930" s="2">
        <v>0</v>
      </c>
      <c r="X930" s="2">
        <v>862</v>
      </c>
    </row>
    <row r="931" spans="1:24" x14ac:dyDescent="0.25">
      <c r="G931" s="2" t="s">
        <v>1659</v>
      </c>
    </row>
    <row r="932" spans="1:24" x14ac:dyDescent="0.25">
      <c r="A932" s="2">
        <v>463</v>
      </c>
      <c r="B932" s="2">
        <v>13163</v>
      </c>
      <c r="C932" s="2" t="s">
        <v>1660</v>
      </c>
      <c r="D932" s="2" t="s">
        <v>164</v>
      </c>
      <c r="E932" s="2" t="s">
        <v>84</v>
      </c>
      <c r="F932" s="2" t="s">
        <v>1661</v>
      </c>
      <c r="G932" s="2">
        <v>792</v>
      </c>
      <c r="H932" s="2">
        <v>0</v>
      </c>
      <c r="I932" s="2">
        <v>0</v>
      </c>
      <c r="J932" s="2">
        <v>0</v>
      </c>
      <c r="K932" s="2">
        <v>0</v>
      </c>
      <c r="L932" s="2">
        <v>0</v>
      </c>
      <c r="M932" s="2">
        <v>70</v>
      </c>
      <c r="N932" s="2">
        <v>0</v>
      </c>
      <c r="O932" s="2">
        <v>0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v>0</v>
      </c>
      <c r="W932" s="2">
        <v>0</v>
      </c>
      <c r="X932" s="2">
        <v>862</v>
      </c>
    </row>
    <row r="933" spans="1:24" x14ac:dyDescent="0.25">
      <c r="G933" s="2" t="s">
        <v>1662</v>
      </c>
    </row>
    <row r="934" spans="1:24" x14ac:dyDescent="0.25">
      <c r="A934" s="2">
        <v>464</v>
      </c>
      <c r="B934" s="2">
        <v>700</v>
      </c>
      <c r="C934" s="2" t="s">
        <v>1663</v>
      </c>
      <c r="D934" s="2" t="s">
        <v>170</v>
      </c>
      <c r="E934" s="2" t="s">
        <v>39</v>
      </c>
      <c r="F934" s="2" t="s">
        <v>1664</v>
      </c>
      <c r="G934" s="2">
        <v>801.9</v>
      </c>
      <c r="H934" s="2">
        <v>0</v>
      </c>
      <c r="I934" s="2">
        <v>0</v>
      </c>
      <c r="J934" s="2">
        <v>0</v>
      </c>
      <c r="K934" s="2">
        <v>0</v>
      </c>
      <c r="L934" s="2">
        <v>0</v>
      </c>
      <c r="M934" s="2">
        <v>30</v>
      </c>
      <c r="N934" s="2">
        <v>30</v>
      </c>
      <c r="O934" s="2">
        <v>0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v>0</v>
      </c>
      <c r="W934" s="2">
        <v>0</v>
      </c>
      <c r="X934" s="2">
        <v>861.9</v>
      </c>
    </row>
    <row r="935" spans="1:24" x14ac:dyDescent="0.25">
      <c r="G935" s="2" t="s">
        <v>1665</v>
      </c>
    </row>
    <row r="936" spans="1:24" x14ac:dyDescent="0.25">
      <c r="A936" s="2">
        <v>465</v>
      </c>
      <c r="B936" s="2">
        <v>7339</v>
      </c>
      <c r="C936" s="2" t="s">
        <v>1666</v>
      </c>
      <c r="D936" s="2" t="s">
        <v>1667</v>
      </c>
      <c r="E936" s="2" t="s">
        <v>144</v>
      </c>
      <c r="F936" s="2" t="s">
        <v>1668</v>
      </c>
      <c r="G936" s="2">
        <v>811.8</v>
      </c>
      <c r="H936" s="2">
        <v>0</v>
      </c>
      <c r="I936" s="2">
        <v>0</v>
      </c>
      <c r="J936" s="2">
        <v>0</v>
      </c>
      <c r="K936" s="2">
        <v>0</v>
      </c>
      <c r="L936" s="2">
        <v>0</v>
      </c>
      <c r="M936" s="2">
        <v>50</v>
      </c>
      <c r="N936" s="2">
        <v>0</v>
      </c>
      <c r="O936" s="2">
        <v>0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v>0</v>
      </c>
      <c r="W936" s="2">
        <v>0</v>
      </c>
      <c r="X936" s="2">
        <v>861.8</v>
      </c>
    </row>
    <row r="937" spans="1:24" x14ac:dyDescent="0.25">
      <c r="G937" s="2" t="s">
        <v>1669</v>
      </c>
    </row>
    <row r="938" spans="1:24" x14ac:dyDescent="0.25">
      <c r="A938" s="2">
        <v>466</v>
      </c>
      <c r="B938" s="2">
        <v>4778</v>
      </c>
      <c r="C938" s="2" t="s">
        <v>1670</v>
      </c>
      <c r="D938" s="2" t="s">
        <v>112</v>
      </c>
      <c r="E938" s="2" t="s">
        <v>90</v>
      </c>
      <c r="F938" s="2" t="s">
        <v>1671</v>
      </c>
      <c r="G938" s="2">
        <v>831.6</v>
      </c>
      <c r="H938" s="2">
        <v>0</v>
      </c>
      <c r="I938" s="2">
        <v>0</v>
      </c>
      <c r="J938" s="2">
        <v>0</v>
      </c>
      <c r="K938" s="2">
        <v>0</v>
      </c>
      <c r="L938" s="2">
        <v>0</v>
      </c>
      <c r="M938" s="2">
        <v>30</v>
      </c>
      <c r="N938" s="2">
        <v>0</v>
      </c>
      <c r="O938" s="2">
        <v>0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v>0</v>
      </c>
      <c r="W938" s="2">
        <v>0</v>
      </c>
      <c r="X938" s="2">
        <v>861.6</v>
      </c>
    </row>
    <row r="939" spans="1:24" x14ac:dyDescent="0.25">
      <c r="G939" s="2" t="s">
        <v>1672</v>
      </c>
    </row>
    <row r="940" spans="1:24" x14ac:dyDescent="0.25">
      <c r="A940" s="2">
        <v>467</v>
      </c>
      <c r="B940" s="2">
        <v>6105</v>
      </c>
      <c r="C940" s="2" t="s">
        <v>1673</v>
      </c>
      <c r="D940" s="2" t="s">
        <v>112</v>
      </c>
      <c r="E940" s="2" t="s">
        <v>342</v>
      </c>
      <c r="F940" s="2" t="s">
        <v>1674</v>
      </c>
      <c r="G940" s="2">
        <v>831.6</v>
      </c>
      <c r="H940" s="2">
        <v>0</v>
      </c>
      <c r="I940" s="2">
        <v>0</v>
      </c>
      <c r="J940" s="2">
        <v>0</v>
      </c>
      <c r="K940" s="2">
        <v>0</v>
      </c>
      <c r="L940" s="2">
        <v>0</v>
      </c>
      <c r="M940" s="2">
        <v>30</v>
      </c>
      <c r="N940" s="2">
        <v>0</v>
      </c>
      <c r="O940" s="2">
        <v>0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v>0</v>
      </c>
      <c r="W940" s="2">
        <v>0</v>
      </c>
      <c r="X940" s="2">
        <v>861.6</v>
      </c>
    </row>
    <row r="941" spans="1:24" x14ac:dyDescent="0.25">
      <c r="G941" s="2" t="s">
        <v>1675</v>
      </c>
    </row>
    <row r="942" spans="1:24" x14ac:dyDescent="0.25">
      <c r="A942" s="2">
        <v>468</v>
      </c>
      <c r="B942" s="2">
        <v>17763</v>
      </c>
      <c r="C942" s="2" t="s">
        <v>1676</v>
      </c>
      <c r="D942" s="2" t="s">
        <v>821</v>
      </c>
      <c r="E942" s="2" t="s">
        <v>1677</v>
      </c>
      <c r="F942" s="2" t="s">
        <v>1678</v>
      </c>
      <c r="G942" s="2">
        <v>831.6</v>
      </c>
      <c r="H942" s="2">
        <v>0</v>
      </c>
      <c r="I942" s="2">
        <v>0</v>
      </c>
      <c r="J942" s="2">
        <v>0</v>
      </c>
      <c r="K942" s="2">
        <v>0</v>
      </c>
      <c r="L942" s="2">
        <v>0</v>
      </c>
      <c r="M942" s="2">
        <v>30</v>
      </c>
      <c r="N942" s="2">
        <v>0</v>
      </c>
      <c r="O942" s="2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v>0</v>
      </c>
      <c r="W942" s="2">
        <v>0</v>
      </c>
      <c r="X942" s="2">
        <v>861.6</v>
      </c>
    </row>
    <row r="943" spans="1:24" x14ac:dyDescent="0.25">
      <c r="G943" s="2" t="s">
        <v>1679</v>
      </c>
    </row>
    <row r="944" spans="1:24" x14ac:dyDescent="0.25">
      <c r="A944" s="2">
        <v>469</v>
      </c>
      <c r="B944" s="2">
        <v>12710</v>
      </c>
      <c r="C944" s="2" t="s">
        <v>1090</v>
      </c>
      <c r="D944" s="2" t="s">
        <v>112</v>
      </c>
      <c r="E944" s="2" t="s">
        <v>965</v>
      </c>
      <c r="F944" s="2" t="s">
        <v>1680</v>
      </c>
      <c r="G944" s="2">
        <v>810.7</v>
      </c>
      <c r="H944" s="2">
        <v>0</v>
      </c>
      <c r="I944" s="2">
        <v>0</v>
      </c>
      <c r="J944" s="2">
        <v>0</v>
      </c>
      <c r="K944" s="2">
        <v>0</v>
      </c>
      <c r="L944" s="2">
        <v>0</v>
      </c>
      <c r="M944" s="2">
        <v>50</v>
      </c>
      <c r="N944" s="2">
        <v>0</v>
      </c>
      <c r="O944" s="2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v>0</v>
      </c>
      <c r="W944" s="2">
        <v>0</v>
      </c>
      <c r="X944" s="2">
        <v>860.7</v>
      </c>
    </row>
    <row r="945" spans="1:24" x14ac:dyDescent="0.25">
      <c r="G945" s="2" t="s">
        <v>1681</v>
      </c>
    </row>
    <row r="946" spans="1:24" x14ac:dyDescent="0.25">
      <c r="A946" s="2">
        <v>470</v>
      </c>
      <c r="B946" s="2">
        <v>15874</v>
      </c>
      <c r="C946" s="2" t="s">
        <v>1682</v>
      </c>
      <c r="D946" s="2" t="s">
        <v>112</v>
      </c>
      <c r="E946" s="2" t="s">
        <v>127</v>
      </c>
      <c r="F946" s="2" t="s">
        <v>1683</v>
      </c>
      <c r="G946" s="2">
        <v>810.7</v>
      </c>
      <c r="H946" s="2">
        <v>0</v>
      </c>
      <c r="I946" s="2">
        <v>0</v>
      </c>
      <c r="J946" s="2">
        <v>0</v>
      </c>
      <c r="K946" s="2">
        <v>0</v>
      </c>
      <c r="L946" s="2">
        <v>0</v>
      </c>
      <c r="M946" s="2">
        <v>50</v>
      </c>
      <c r="N946" s="2">
        <v>0</v>
      </c>
      <c r="O946" s="2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v>0</v>
      </c>
      <c r="W946" s="2">
        <v>0</v>
      </c>
      <c r="X946" s="2">
        <v>860.7</v>
      </c>
    </row>
    <row r="947" spans="1:24" x14ac:dyDescent="0.25">
      <c r="G947" s="2" t="s">
        <v>1684</v>
      </c>
    </row>
    <row r="948" spans="1:24" x14ac:dyDescent="0.25">
      <c r="A948" s="2">
        <v>471</v>
      </c>
      <c r="B948" s="2">
        <v>9260</v>
      </c>
      <c r="C948" s="2" t="s">
        <v>1685</v>
      </c>
      <c r="D948" s="2" t="s">
        <v>235</v>
      </c>
      <c r="E948" s="2" t="s">
        <v>138</v>
      </c>
      <c r="F948" s="2" t="s">
        <v>1686</v>
      </c>
      <c r="G948" s="2">
        <v>810.7</v>
      </c>
      <c r="H948" s="2">
        <v>0</v>
      </c>
      <c r="I948" s="2">
        <v>0</v>
      </c>
      <c r="J948" s="2">
        <v>0</v>
      </c>
      <c r="K948" s="2">
        <v>0</v>
      </c>
      <c r="L948" s="2">
        <v>0</v>
      </c>
      <c r="M948" s="2">
        <v>50</v>
      </c>
      <c r="N948" s="2">
        <v>0</v>
      </c>
      <c r="O948" s="2">
        <v>0</v>
      </c>
      <c r="P948" s="2">
        <v>0</v>
      </c>
      <c r="Q948" s="2">
        <v>0</v>
      </c>
      <c r="R948" s="2">
        <v>0</v>
      </c>
      <c r="S948" s="2">
        <v>0</v>
      </c>
      <c r="T948" s="2">
        <v>0</v>
      </c>
      <c r="U948" s="2">
        <v>0</v>
      </c>
      <c r="W948" s="2">
        <v>0</v>
      </c>
      <c r="X948" s="2">
        <v>860.7</v>
      </c>
    </row>
    <row r="949" spans="1:24" x14ac:dyDescent="0.25">
      <c r="G949" s="2" t="s">
        <v>1687</v>
      </c>
    </row>
    <row r="950" spans="1:24" x14ac:dyDescent="0.25">
      <c r="A950" s="2">
        <v>472</v>
      </c>
      <c r="B950" s="2">
        <v>16167</v>
      </c>
      <c r="C950" s="2" t="s">
        <v>1688</v>
      </c>
      <c r="D950" s="2" t="s">
        <v>56</v>
      </c>
      <c r="E950" s="2" t="s">
        <v>194</v>
      </c>
      <c r="F950" s="2" t="s">
        <v>1689</v>
      </c>
      <c r="G950" s="2">
        <v>830.5</v>
      </c>
      <c r="H950" s="2">
        <v>0</v>
      </c>
      <c r="I950" s="2">
        <v>0</v>
      </c>
      <c r="J950" s="2">
        <v>0</v>
      </c>
      <c r="K950" s="2">
        <v>0</v>
      </c>
      <c r="L950" s="2">
        <v>0</v>
      </c>
      <c r="M950" s="2">
        <v>30</v>
      </c>
      <c r="N950" s="2">
        <v>0</v>
      </c>
      <c r="O950" s="2">
        <v>0</v>
      </c>
      <c r="P950" s="2">
        <v>0</v>
      </c>
      <c r="Q950" s="2">
        <v>0</v>
      </c>
      <c r="R950" s="2">
        <v>0</v>
      </c>
      <c r="S950" s="2">
        <v>0</v>
      </c>
      <c r="T950" s="2">
        <v>0</v>
      </c>
      <c r="U950" s="2">
        <v>0</v>
      </c>
      <c r="W950" s="2">
        <v>0</v>
      </c>
      <c r="X950" s="2">
        <v>860.5</v>
      </c>
    </row>
    <row r="951" spans="1:24" x14ac:dyDescent="0.25">
      <c r="G951" s="2" t="s">
        <v>1690</v>
      </c>
    </row>
    <row r="952" spans="1:24" x14ac:dyDescent="0.25">
      <c r="A952" s="2">
        <v>473</v>
      </c>
      <c r="B952" s="2">
        <v>9714</v>
      </c>
      <c r="C952" s="2" t="s">
        <v>1691</v>
      </c>
      <c r="D952" s="2" t="s">
        <v>1692</v>
      </c>
      <c r="E952" s="2" t="s">
        <v>456</v>
      </c>
      <c r="F952" s="2" t="s">
        <v>1693</v>
      </c>
      <c r="G952" s="2">
        <v>830.5</v>
      </c>
      <c r="H952" s="2">
        <v>0</v>
      </c>
      <c r="I952" s="2">
        <v>0</v>
      </c>
      <c r="J952" s="2">
        <v>0</v>
      </c>
      <c r="K952" s="2">
        <v>0</v>
      </c>
      <c r="L952" s="2">
        <v>0</v>
      </c>
      <c r="M952" s="2">
        <v>30</v>
      </c>
      <c r="N952" s="2">
        <v>0</v>
      </c>
      <c r="O952" s="2">
        <v>0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v>0</v>
      </c>
      <c r="W952" s="2">
        <v>0</v>
      </c>
      <c r="X952" s="2">
        <v>860.5</v>
      </c>
    </row>
    <row r="953" spans="1:24" x14ac:dyDescent="0.25">
      <c r="G953" s="2" t="s">
        <v>1694</v>
      </c>
    </row>
    <row r="954" spans="1:24" x14ac:dyDescent="0.25">
      <c r="A954" s="2">
        <v>474</v>
      </c>
      <c r="B954" s="2">
        <v>7360</v>
      </c>
      <c r="C954" s="2" t="s">
        <v>1695</v>
      </c>
      <c r="D954" s="2" t="s">
        <v>84</v>
      </c>
      <c r="E954" s="2" t="s">
        <v>1696</v>
      </c>
      <c r="F954" s="2" t="s">
        <v>1697</v>
      </c>
      <c r="G954" s="2">
        <v>830.5</v>
      </c>
      <c r="H954" s="2">
        <v>0</v>
      </c>
      <c r="I954" s="2">
        <v>0</v>
      </c>
      <c r="J954" s="2">
        <v>0</v>
      </c>
      <c r="K954" s="2">
        <v>0</v>
      </c>
      <c r="L954" s="2">
        <v>0</v>
      </c>
      <c r="M954" s="2">
        <v>30</v>
      </c>
      <c r="N954" s="2">
        <v>0</v>
      </c>
      <c r="O954" s="2">
        <v>0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v>0</v>
      </c>
      <c r="W954" s="2">
        <v>0</v>
      </c>
      <c r="X954" s="2">
        <v>860.5</v>
      </c>
    </row>
    <row r="955" spans="1:24" x14ac:dyDescent="0.25">
      <c r="G955" s="2" t="s">
        <v>1698</v>
      </c>
    </row>
    <row r="956" spans="1:24" x14ac:dyDescent="0.25">
      <c r="A956" s="2">
        <v>475</v>
      </c>
      <c r="B956" s="2">
        <v>11369</v>
      </c>
      <c r="C956" s="2" t="s">
        <v>1699</v>
      </c>
      <c r="D956" s="2" t="s">
        <v>777</v>
      </c>
      <c r="E956" s="2" t="s">
        <v>16</v>
      </c>
      <c r="F956" s="2" t="s">
        <v>1700</v>
      </c>
      <c r="G956" s="2">
        <v>830.5</v>
      </c>
      <c r="H956" s="2">
        <v>0</v>
      </c>
      <c r="I956" s="2">
        <v>0</v>
      </c>
      <c r="J956" s="2">
        <v>0</v>
      </c>
      <c r="K956" s="2">
        <v>0</v>
      </c>
      <c r="L956" s="2">
        <v>0</v>
      </c>
      <c r="M956" s="2">
        <v>30</v>
      </c>
      <c r="N956" s="2">
        <v>0</v>
      </c>
      <c r="O956" s="2">
        <v>0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v>0</v>
      </c>
      <c r="W956" s="2">
        <v>0</v>
      </c>
      <c r="X956" s="2">
        <v>860.5</v>
      </c>
    </row>
    <row r="957" spans="1:24" x14ac:dyDescent="0.25">
      <c r="G957" s="2" t="s">
        <v>1701</v>
      </c>
    </row>
    <row r="958" spans="1:24" x14ac:dyDescent="0.25">
      <c r="A958" s="2">
        <v>476</v>
      </c>
      <c r="B958" s="2">
        <v>12198</v>
      </c>
      <c r="C958" s="2" t="s">
        <v>1702</v>
      </c>
      <c r="D958" s="2" t="s">
        <v>373</v>
      </c>
      <c r="E958" s="2" t="s">
        <v>78</v>
      </c>
      <c r="F958" s="2" t="s">
        <v>1703</v>
      </c>
      <c r="G958" s="2">
        <v>789.8</v>
      </c>
      <c r="H958" s="2">
        <v>0</v>
      </c>
      <c r="I958" s="2">
        <v>0</v>
      </c>
      <c r="J958" s="2">
        <v>0</v>
      </c>
      <c r="K958" s="2">
        <v>0</v>
      </c>
      <c r="L958" s="2">
        <v>0</v>
      </c>
      <c r="M958" s="2">
        <v>70</v>
      </c>
      <c r="N958" s="2">
        <v>0</v>
      </c>
      <c r="O958" s="2">
        <v>0</v>
      </c>
      <c r="P958" s="2">
        <v>0</v>
      </c>
      <c r="Q958" s="2">
        <v>0</v>
      </c>
      <c r="R958" s="2">
        <v>0</v>
      </c>
      <c r="S958" s="2">
        <v>0</v>
      </c>
      <c r="T958" s="2">
        <v>0</v>
      </c>
      <c r="U958" s="2">
        <v>0</v>
      </c>
      <c r="W958" s="2">
        <v>0</v>
      </c>
      <c r="X958" s="2">
        <v>859.8</v>
      </c>
    </row>
    <row r="959" spans="1:24" x14ac:dyDescent="0.25">
      <c r="G959" s="2" t="s">
        <v>1704</v>
      </c>
    </row>
    <row r="960" spans="1:24" x14ac:dyDescent="0.25">
      <c r="A960" s="2">
        <v>477</v>
      </c>
      <c r="B960" s="2">
        <v>3313</v>
      </c>
      <c r="C960" s="2" t="s">
        <v>1705</v>
      </c>
      <c r="D960" s="2" t="s">
        <v>164</v>
      </c>
      <c r="E960" s="2" t="s">
        <v>39</v>
      </c>
      <c r="F960" s="2" t="s">
        <v>1706</v>
      </c>
      <c r="G960" s="2">
        <v>789.8</v>
      </c>
      <c r="H960" s="2">
        <v>0</v>
      </c>
      <c r="I960" s="2">
        <v>0</v>
      </c>
      <c r="J960" s="2">
        <v>0</v>
      </c>
      <c r="K960" s="2">
        <v>0</v>
      </c>
      <c r="L960" s="2">
        <v>0</v>
      </c>
      <c r="M960" s="2">
        <v>70</v>
      </c>
      <c r="N960" s="2">
        <v>0</v>
      </c>
      <c r="O960" s="2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v>0</v>
      </c>
      <c r="W960" s="2">
        <v>0</v>
      </c>
      <c r="X960" s="2">
        <v>859.8</v>
      </c>
    </row>
    <row r="961" spans="1:24" x14ac:dyDescent="0.25">
      <c r="G961" s="2" t="s">
        <v>1707</v>
      </c>
    </row>
    <row r="962" spans="1:24" x14ac:dyDescent="0.25">
      <c r="A962" s="2">
        <v>478</v>
      </c>
      <c r="B962" s="2">
        <v>12084</v>
      </c>
      <c r="C962" s="2" t="s">
        <v>1708</v>
      </c>
      <c r="D962" s="2" t="s">
        <v>415</v>
      </c>
      <c r="E962" s="2" t="s">
        <v>597</v>
      </c>
      <c r="F962" s="2" t="s">
        <v>1709</v>
      </c>
      <c r="G962" s="2">
        <v>859.1</v>
      </c>
      <c r="H962" s="2">
        <v>0</v>
      </c>
      <c r="I962" s="2">
        <v>0</v>
      </c>
      <c r="J962" s="2">
        <v>0</v>
      </c>
      <c r="K962" s="2">
        <v>0</v>
      </c>
      <c r="L962" s="2">
        <v>0</v>
      </c>
      <c r="M962" s="2">
        <v>0</v>
      </c>
      <c r="N962" s="2">
        <v>0</v>
      </c>
      <c r="O962" s="2">
        <v>0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v>0</v>
      </c>
      <c r="W962" s="2">
        <v>0</v>
      </c>
      <c r="X962" s="2">
        <v>859.1</v>
      </c>
    </row>
    <row r="963" spans="1:24" x14ac:dyDescent="0.25">
      <c r="G963" s="2" t="s">
        <v>1710</v>
      </c>
    </row>
    <row r="964" spans="1:24" x14ac:dyDescent="0.25">
      <c r="A964" s="2">
        <v>479</v>
      </c>
      <c r="B964" s="2">
        <v>15633</v>
      </c>
      <c r="C964" s="2" t="s">
        <v>1711</v>
      </c>
      <c r="D964" s="2" t="s">
        <v>73</v>
      </c>
      <c r="E964" s="2" t="s">
        <v>1712</v>
      </c>
      <c r="F964" s="2" t="s">
        <v>1713</v>
      </c>
      <c r="G964" s="2">
        <v>788.7</v>
      </c>
      <c r="H964" s="2">
        <v>0</v>
      </c>
      <c r="I964" s="2">
        <v>0</v>
      </c>
      <c r="J964" s="2">
        <v>0</v>
      </c>
      <c r="K964" s="2">
        <v>0</v>
      </c>
      <c r="L964" s="2">
        <v>0</v>
      </c>
      <c r="M964" s="2">
        <v>70</v>
      </c>
      <c r="N964" s="2">
        <v>0</v>
      </c>
      <c r="O964" s="2">
        <v>0</v>
      </c>
      <c r="P964" s="2">
        <v>0</v>
      </c>
      <c r="Q964" s="2">
        <v>0</v>
      </c>
      <c r="R964" s="2">
        <v>0</v>
      </c>
      <c r="S964" s="2">
        <v>0</v>
      </c>
      <c r="T964" s="2">
        <v>0</v>
      </c>
      <c r="U964" s="2">
        <v>0</v>
      </c>
      <c r="W964" s="2">
        <v>0</v>
      </c>
      <c r="X964" s="2">
        <v>858.7</v>
      </c>
    </row>
    <row r="965" spans="1:24" x14ac:dyDescent="0.25">
      <c r="G965" s="2" t="s">
        <v>1714</v>
      </c>
    </row>
    <row r="966" spans="1:24" x14ac:dyDescent="0.25">
      <c r="A966" s="2">
        <v>480</v>
      </c>
      <c r="B966" s="2">
        <v>12035</v>
      </c>
      <c r="C966" s="2" t="s">
        <v>1715</v>
      </c>
      <c r="D966" s="2" t="s">
        <v>1716</v>
      </c>
      <c r="E966" s="2" t="s">
        <v>342</v>
      </c>
      <c r="F966" s="2" t="s">
        <v>1717</v>
      </c>
      <c r="G966" s="2">
        <v>798.6</v>
      </c>
      <c r="H966" s="2">
        <v>0</v>
      </c>
      <c r="I966" s="2">
        <v>0</v>
      </c>
      <c r="J966" s="2">
        <v>0</v>
      </c>
      <c r="K966" s="2">
        <v>0</v>
      </c>
      <c r="L966" s="2">
        <v>0</v>
      </c>
      <c r="M966" s="2">
        <v>30</v>
      </c>
      <c r="N966" s="2">
        <v>0</v>
      </c>
      <c r="O966" s="2">
        <v>30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v>0</v>
      </c>
      <c r="W966" s="2">
        <v>0</v>
      </c>
      <c r="X966" s="2">
        <v>858.6</v>
      </c>
    </row>
    <row r="967" spans="1:24" x14ac:dyDescent="0.25">
      <c r="G967" s="2" t="s">
        <v>1718</v>
      </c>
    </row>
    <row r="968" spans="1:24" x14ac:dyDescent="0.25">
      <c r="A968" s="2">
        <v>481</v>
      </c>
      <c r="B968" s="2">
        <v>12572</v>
      </c>
      <c r="C968" s="2" t="s">
        <v>1719</v>
      </c>
      <c r="D968" s="2" t="s">
        <v>193</v>
      </c>
      <c r="E968" s="2" t="s">
        <v>73</v>
      </c>
      <c r="F968" s="2" t="s">
        <v>1720</v>
      </c>
      <c r="G968" s="2">
        <v>828.3</v>
      </c>
      <c r="H968" s="2">
        <v>0</v>
      </c>
      <c r="I968" s="2">
        <v>0</v>
      </c>
      <c r="J968" s="2">
        <v>0</v>
      </c>
      <c r="K968" s="2">
        <v>0</v>
      </c>
      <c r="L968" s="2">
        <v>0</v>
      </c>
      <c r="M968" s="2">
        <v>30</v>
      </c>
      <c r="N968" s="2">
        <v>0</v>
      </c>
      <c r="O968" s="2">
        <v>0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v>0</v>
      </c>
      <c r="W968" s="2">
        <v>0</v>
      </c>
      <c r="X968" s="2">
        <v>858.3</v>
      </c>
    </row>
    <row r="969" spans="1:24" x14ac:dyDescent="0.25">
      <c r="G969" s="2" t="s">
        <v>1721</v>
      </c>
    </row>
    <row r="970" spans="1:24" x14ac:dyDescent="0.25">
      <c r="A970" s="2">
        <v>482</v>
      </c>
      <c r="B970" s="2">
        <v>17231</v>
      </c>
      <c r="C970" s="2" t="s">
        <v>1723</v>
      </c>
      <c r="D970" s="2" t="s">
        <v>112</v>
      </c>
      <c r="E970" s="2" t="s">
        <v>148</v>
      </c>
      <c r="F970" s="2" t="s">
        <v>1724</v>
      </c>
      <c r="G970" s="2">
        <v>828.3</v>
      </c>
      <c r="H970" s="2">
        <v>0</v>
      </c>
      <c r="I970" s="2">
        <v>0</v>
      </c>
      <c r="J970" s="2">
        <v>0</v>
      </c>
      <c r="K970" s="2">
        <v>0</v>
      </c>
      <c r="L970" s="2">
        <v>0</v>
      </c>
      <c r="M970" s="2">
        <v>30</v>
      </c>
      <c r="N970" s="2">
        <v>0</v>
      </c>
      <c r="O970" s="2">
        <v>0</v>
      </c>
      <c r="P970" s="2">
        <v>0</v>
      </c>
      <c r="Q970" s="2">
        <v>0</v>
      </c>
      <c r="R970" s="2">
        <v>0</v>
      </c>
      <c r="S970" s="2">
        <v>0</v>
      </c>
      <c r="T970" s="2">
        <v>0</v>
      </c>
      <c r="U970" s="2">
        <v>0</v>
      </c>
      <c r="W970" s="2">
        <v>0</v>
      </c>
      <c r="X970" s="2">
        <v>858.3</v>
      </c>
    </row>
    <row r="971" spans="1:24" x14ac:dyDescent="0.25">
      <c r="G971" s="2" t="s">
        <v>1725</v>
      </c>
    </row>
    <row r="972" spans="1:24" x14ac:dyDescent="0.25">
      <c r="A972" s="2">
        <v>483</v>
      </c>
      <c r="B972" s="2">
        <v>11702</v>
      </c>
      <c r="C972" s="2" t="s">
        <v>1726</v>
      </c>
      <c r="D972" s="2" t="s">
        <v>38</v>
      </c>
      <c r="E972" s="2" t="s">
        <v>1727</v>
      </c>
      <c r="F972" s="2" t="s">
        <v>1728</v>
      </c>
      <c r="G972" s="2">
        <v>828.3</v>
      </c>
      <c r="H972" s="2">
        <v>0</v>
      </c>
      <c r="I972" s="2">
        <v>0</v>
      </c>
      <c r="J972" s="2">
        <v>0</v>
      </c>
      <c r="K972" s="2">
        <v>0</v>
      </c>
      <c r="L972" s="2">
        <v>0</v>
      </c>
      <c r="M972" s="2">
        <v>30</v>
      </c>
      <c r="N972" s="2">
        <v>0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v>0</v>
      </c>
      <c r="W972" s="2">
        <v>0</v>
      </c>
      <c r="X972" s="2">
        <v>858.3</v>
      </c>
    </row>
    <row r="973" spans="1:24" x14ac:dyDescent="0.25">
      <c r="G973" s="2" t="s">
        <v>1729</v>
      </c>
    </row>
    <row r="974" spans="1:24" x14ac:dyDescent="0.25">
      <c r="A974" s="2">
        <v>484</v>
      </c>
      <c r="B974" s="2">
        <v>3882</v>
      </c>
      <c r="C974" s="2" t="s">
        <v>1730</v>
      </c>
      <c r="D974" s="2" t="s">
        <v>1731</v>
      </c>
      <c r="E974" s="2" t="s">
        <v>1732</v>
      </c>
      <c r="F974" s="2" t="s">
        <v>1733</v>
      </c>
      <c r="G974" s="2">
        <v>828.3</v>
      </c>
      <c r="H974" s="2">
        <v>0</v>
      </c>
      <c r="I974" s="2">
        <v>0</v>
      </c>
      <c r="J974" s="2">
        <v>0</v>
      </c>
      <c r="K974" s="2">
        <v>0</v>
      </c>
      <c r="L974" s="2">
        <v>0</v>
      </c>
      <c r="M974" s="2">
        <v>30</v>
      </c>
      <c r="N974" s="2">
        <v>0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v>0</v>
      </c>
      <c r="W974" s="2">
        <v>0</v>
      </c>
      <c r="X974" s="2">
        <v>858.3</v>
      </c>
    </row>
    <row r="975" spans="1:24" x14ac:dyDescent="0.25">
      <c r="G975" s="2" t="s">
        <v>1734</v>
      </c>
    </row>
    <row r="976" spans="1:24" x14ac:dyDescent="0.25">
      <c r="A976" s="2">
        <v>485</v>
      </c>
      <c r="B976" s="2">
        <v>5253</v>
      </c>
      <c r="C976" s="2" t="s">
        <v>1735</v>
      </c>
      <c r="D976" s="2" t="s">
        <v>164</v>
      </c>
      <c r="E976" s="2" t="s">
        <v>1736</v>
      </c>
      <c r="F976" s="2" t="s">
        <v>1737</v>
      </c>
      <c r="G976" s="2">
        <v>828.3</v>
      </c>
      <c r="H976" s="2">
        <v>0</v>
      </c>
      <c r="I976" s="2">
        <v>0</v>
      </c>
      <c r="J976" s="2">
        <v>0</v>
      </c>
      <c r="K976" s="2">
        <v>0</v>
      </c>
      <c r="L976" s="2">
        <v>0</v>
      </c>
      <c r="M976" s="2">
        <v>30</v>
      </c>
      <c r="N976" s="2">
        <v>0</v>
      </c>
      <c r="O976" s="2">
        <v>0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v>0</v>
      </c>
      <c r="W976" s="2">
        <v>0</v>
      </c>
      <c r="X976" s="2">
        <v>858.3</v>
      </c>
    </row>
    <row r="977" spans="1:24" x14ac:dyDescent="0.25">
      <c r="G977" s="2" t="s">
        <v>1738</v>
      </c>
    </row>
    <row r="978" spans="1:24" x14ac:dyDescent="0.25">
      <c r="A978" s="2">
        <v>486</v>
      </c>
      <c r="B978" s="2">
        <v>9405</v>
      </c>
      <c r="C978" s="2" t="s">
        <v>860</v>
      </c>
      <c r="D978" s="2" t="s">
        <v>1739</v>
      </c>
      <c r="E978" s="2" t="s">
        <v>51</v>
      </c>
      <c r="F978" s="2" t="s">
        <v>1740</v>
      </c>
      <c r="G978" s="2">
        <v>828.3</v>
      </c>
      <c r="H978" s="2">
        <v>0</v>
      </c>
      <c r="I978" s="2">
        <v>0</v>
      </c>
      <c r="J978" s="2">
        <v>0</v>
      </c>
      <c r="K978" s="2">
        <v>0</v>
      </c>
      <c r="L978" s="2">
        <v>0</v>
      </c>
      <c r="M978" s="2">
        <v>30</v>
      </c>
      <c r="N978" s="2">
        <v>0</v>
      </c>
      <c r="O978" s="2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v>0</v>
      </c>
      <c r="W978" s="2">
        <v>0</v>
      </c>
      <c r="X978" s="2">
        <v>858.3</v>
      </c>
    </row>
    <row r="979" spans="1:24" x14ac:dyDescent="0.25">
      <c r="G979" s="2" t="s">
        <v>1741</v>
      </c>
    </row>
    <row r="980" spans="1:24" x14ac:dyDescent="0.25">
      <c r="A980" s="2">
        <v>487</v>
      </c>
      <c r="B980" s="2">
        <v>6750</v>
      </c>
      <c r="C980" s="2" t="s">
        <v>1742</v>
      </c>
      <c r="D980" s="2" t="s">
        <v>194</v>
      </c>
      <c r="E980" s="2" t="s">
        <v>148</v>
      </c>
      <c r="F980" s="2" t="s">
        <v>1743</v>
      </c>
      <c r="G980" s="2">
        <v>828.3</v>
      </c>
      <c r="H980" s="2">
        <v>0</v>
      </c>
      <c r="I980" s="2">
        <v>0</v>
      </c>
      <c r="J980" s="2">
        <v>0</v>
      </c>
      <c r="K980" s="2">
        <v>0</v>
      </c>
      <c r="L980" s="2">
        <v>0</v>
      </c>
      <c r="M980" s="2">
        <v>30</v>
      </c>
      <c r="N980" s="2">
        <v>0</v>
      </c>
      <c r="O980" s="2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v>0</v>
      </c>
      <c r="W980" s="2">
        <v>0</v>
      </c>
      <c r="X980" s="2">
        <v>858.3</v>
      </c>
    </row>
    <row r="981" spans="1:24" x14ac:dyDescent="0.25">
      <c r="G981" s="2" t="s">
        <v>1744</v>
      </c>
    </row>
    <row r="982" spans="1:24" x14ac:dyDescent="0.25">
      <c r="A982" s="2">
        <v>488</v>
      </c>
      <c r="B982" s="2">
        <v>11484</v>
      </c>
      <c r="C982" s="2" t="s">
        <v>1745</v>
      </c>
      <c r="D982" s="2" t="s">
        <v>395</v>
      </c>
      <c r="E982" s="2" t="s">
        <v>199</v>
      </c>
      <c r="F982" s="2" t="s">
        <v>1746</v>
      </c>
      <c r="G982" s="2">
        <v>858</v>
      </c>
      <c r="H982" s="2">
        <v>0</v>
      </c>
      <c r="I982" s="2">
        <v>0</v>
      </c>
      <c r="J982" s="2">
        <v>0</v>
      </c>
      <c r="K982" s="2">
        <v>0</v>
      </c>
      <c r="L982" s="2">
        <v>0</v>
      </c>
      <c r="M982" s="2">
        <v>0</v>
      </c>
      <c r="N982" s="2">
        <v>0</v>
      </c>
      <c r="O982" s="2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v>0</v>
      </c>
      <c r="W982" s="2">
        <v>2</v>
      </c>
      <c r="X982" s="2">
        <v>858</v>
      </c>
    </row>
    <row r="983" spans="1:24" x14ac:dyDescent="0.25">
      <c r="G983" s="2" t="s">
        <v>1747</v>
      </c>
    </row>
    <row r="984" spans="1:24" x14ac:dyDescent="0.25">
      <c r="A984" s="2">
        <v>489</v>
      </c>
      <c r="B984" s="2">
        <v>3408</v>
      </c>
      <c r="C984" s="2" t="s">
        <v>1748</v>
      </c>
      <c r="D984" s="2" t="s">
        <v>1407</v>
      </c>
      <c r="E984" s="2" t="s">
        <v>39</v>
      </c>
      <c r="F984" s="2" t="s">
        <v>1749</v>
      </c>
      <c r="G984" s="2">
        <v>858</v>
      </c>
      <c r="H984" s="2">
        <v>0</v>
      </c>
      <c r="I984" s="2">
        <v>0</v>
      </c>
      <c r="J984" s="2">
        <v>0</v>
      </c>
      <c r="K984" s="2">
        <v>0</v>
      </c>
      <c r="L984" s="2">
        <v>0</v>
      </c>
      <c r="M984" s="2">
        <v>0</v>
      </c>
      <c r="N984" s="2">
        <v>0</v>
      </c>
      <c r="O984" s="2">
        <v>0</v>
      </c>
      <c r="P984" s="2">
        <v>0</v>
      </c>
      <c r="Q984" s="2">
        <v>0</v>
      </c>
      <c r="R984" s="2">
        <v>0</v>
      </c>
      <c r="S984" s="2">
        <v>0</v>
      </c>
      <c r="T984" s="2">
        <v>0</v>
      </c>
      <c r="U984" s="2">
        <v>0</v>
      </c>
      <c r="W984" s="2">
        <v>1</v>
      </c>
      <c r="X984" s="2">
        <v>858</v>
      </c>
    </row>
    <row r="985" spans="1:24" x14ac:dyDescent="0.25">
      <c r="G985" s="2" t="s">
        <v>1750</v>
      </c>
    </row>
    <row r="986" spans="1:24" x14ac:dyDescent="0.25">
      <c r="A986" s="2">
        <v>490</v>
      </c>
      <c r="B986" s="2">
        <v>13437</v>
      </c>
      <c r="C986" s="2" t="s">
        <v>1751</v>
      </c>
      <c r="D986" s="2" t="s">
        <v>127</v>
      </c>
      <c r="E986" s="2" t="s">
        <v>51</v>
      </c>
      <c r="F986" s="2" t="s">
        <v>1752</v>
      </c>
      <c r="G986" s="2">
        <v>858</v>
      </c>
      <c r="H986" s="2">
        <v>0</v>
      </c>
      <c r="I986" s="2">
        <v>0</v>
      </c>
      <c r="J986" s="2">
        <v>0</v>
      </c>
      <c r="K986" s="2">
        <v>0</v>
      </c>
      <c r="L986" s="2">
        <v>0</v>
      </c>
      <c r="M986" s="2">
        <v>0</v>
      </c>
      <c r="N986" s="2">
        <v>0</v>
      </c>
      <c r="O986" s="2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v>0</v>
      </c>
      <c r="W986" s="2">
        <v>2</v>
      </c>
      <c r="X986" s="2">
        <v>858</v>
      </c>
    </row>
    <row r="987" spans="1:24" x14ac:dyDescent="0.25">
      <c r="G987" s="2" t="s">
        <v>1753</v>
      </c>
    </row>
    <row r="988" spans="1:24" x14ac:dyDescent="0.25">
      <c r="A988" s="2">
        <v>491</v>
      </c>
      <c r="B988" s="2">
        <v>13964</v>
      </c>
      <c r="C988" s="2" t="s">
        <v>1754</v>
      </c>
      <c r="D988" s="2" t="s">
        <v>1755</v>
      </c>
      <c r="E988" s="2" t="s">
        <v>84</v>
      </c>
      <c r="F988" s="2" t="s">
        <v>1756</v>
      </c>
      <c r="G988" s="2">
        <v>858</v>
      </c>
      <c r="H988" s="2">
        <v>0</v>
      </c>
      <c r="I988" s="2">
        <v>0</v>
      </c>
      <c r="J988" s="2">
        <v>0</v>
      </c>
      <c r="K988" s="2">
        <v>0</v>
      </c>
      <c r="L988" s="2">
        <v>0</v>
      </c>
      <c r="M988" s="2">
        <v>0</v>
      </c>
      <c r="N988" s="2">
        <v>0</v>
      </c>
      <c r="O988" s="2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v>0</v>
      </c>
      <c r="W988" s="2">
        <v>0</v>
      </c>
      <c r="X988" s="2">
        <v>858</v>
      </c>
    </row>
    <row r="989" spans="1:24" x14ac:dyDescent="0.25">
      <c r="G989" s="2" t="s">
        <v>1757</v>
      </c>
    </row>
    <row r="990" spans="1:24" x14ac:dyDescent="0.25">
      <c r="A990" s="2">
        <v>492</v>
      </c>
      <c r="B990" s="2">
        <v>5520</v>
      </c>
      <c r="C990" s="2" t="s">
        <v>1758</v>
      </c>
      <c r="D990" s="2" t="s">
        <v>1759</v>
      </c>
      <c r="E990" s="2" t="s">
        <v>138</v>
      </c>
      <c r="F990" s="2" t="s">
        <v>1760</v>
      </c>
      <c r="G990" s="2">
        <v>858</v>
      </c>
      <c r="H990" s="2">
        <v>0</v>
      </c>
      <c r="I990" s="2">
        <v>0</v>
      </c>
      <c r="J990" s="2">
        <v>0</v>
      </c>
      <c r="K990" s="2">
        <v>0</v>
      </c>
      <c r="L990" s="2">
        <v>0</v>
      </c>
      <c r="M990" s="2">
        <v>0</v>
      </c>
      <c r="N990" s="2">
        <v>0</v>
      </c>
      <c r="O990" s="2">
        <v>0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v>0</v>
      </c>
      <c r="W990" s="2">
        <v>0</v>
      </c>
      <c r="X990" s="2">
        <v>858</v>
      </c>
    </row>
    <row r="991" spans="1:24" x14ac:dyDescent="0.25">
      <c r="G991" s="2" t="s">
        <v>1761</v>
      </c>
    </row>
    <row r="992" spans="1:24" x14ac:dyDescent="0.25">
      <c r="A992" s="2">
        <v>493</v>
      </c>
      <c r="B992" s="2">
        <v>9910</v>
      </c>
      <c r="C992" s="2" t="s">
        <v>1762</v>
      </c>
      <c r="D992" s="2" t="s">
        <v>56</v>
      </c>
      <c r="E992" s="2" t="s">
        <v>663</v>
      </c>
      <c r="F992" s="2" t="s">
        <v>1763</v>
      </c>
      <c r="G992" s="2">
        <v>807.4</v>
      </c>
      <c r="H992" s="2">
        <v>0</v>
      </c>
      <c r="I992" s="2">
        <v>0</v>
      </c>
      <c r="J992" s="2">
        <v>0</v>
      </c>
      <c r="K992" s="2">
        <v>0</v>
      </c>
      <c r="L992" s="2">
        <v>0</v>
      </c>
      <c r="M992" s="2">
        <v>50</v>
      </c>
      <c r="N992" s="2">
        <v>0</v>
      </c>
      <c r="O992" s="2">
        <v>0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v>0</v>
      </c>
      <c r="W992" s="2">
        <v>0</v>
      </c>
      <c r="X992" s="2">
        <v>857.4</v>
      </c>
    </row>
    <row r="993" spans="1:24" x14ac:dyDescent="0.25">
      <c r="G993" s="2" t="s">
        <v>1764</v>
      </c>
    </row>
    <row r="994" spans="1:24" x14ac:dyDescent="0.25">
      <c r="A994" s="2">
        <v>494</v>
      </c>
      <c r="B994" s="2">
        <v>3057</v>
      </c>
      <c r="C994" s="2" t="s">
        <v>1765</v>
      </c>
      <c r="D994" s="2" t="s">
        <v>56</v>
      </c>
      <c r="E994" s="2" t="s">
        <v>456</v>
      </c>
      <c r="F994" s="2" t="s">
        <v>1766</v>
      </c>
      <c r="G994" s="2">
        <v>827.2</v>
      </c>
      <c r="H994" s="2">
        <v>0</v>
      </c>
      <c r="I994" s="2">
        <v>0</v>
      </c>
      <c r="J994" s="2">
        <v>0</v>
      </c>
      <c r="K994" s="2">
        <v>0</v>
      </c>
      <c r="L994" s="2">
        <v>0</v>
      </c>
      <c r="M994" s="2">
        <v>30</v>
      </c>
      <c r="N994" s="2">
        <v>0</v>
      </c>
      <c r="O994" s="2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v>0</v>
      </c>
      <c r="W994" s="2">
        <v>0</v>
      </c>
      <c r="X994" s="2">
        <v>857.2</v>
      </c>
    </row>
    <row r="995" spans="1:24" x14ac:dyDescent="0.25">
      <c r="G995" s="2" t="s">
        <v>1767</v>
      </c>
    </row>
    <row r="996" spans="1:24" x14ac:dyDescent="0.25">
      <c r="A996" s="2">
        <v>495</v>
      </c>
      <c r="B996" s="2">
        <v>11359</v>
      </c>
      <c r="C996" s="2" t="s">
        <v>221</v>
      </c>
      <c r="D996" s="2" t="s">
        <v>112</v>
      </c>
      <c r="E996" s="2" t="s">
        <v>829</v>
      </c>
      <c r="F996" s="2" t="s">
        <v>1768</v>
      </c>
      <c r="G996" s="2">
        <v>827.2</v>
      </c>
      <c r="H996" s="2">
        <v>0</v>
      </c>
      <c r="I996" s="2">
        <v>0</v>
      </c>
      <c r="J996" s="2">
        <v>0</v>
      </c>
      <c r="K996" s="2">
        <v>0</v>
      </c>
      <c r="L996" s="2">
        <v>0</v>
      </c>
      <c r="M996" s="2">
        <v>30</v>
      </c>
      <c r="N996" s="2">
        <v>0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v>0</v>
      </c>
      <c r="W996" s="2">
        <v>0</v>
      </c>
      <c r="X996" s="2">
        <v>857.2</v>
      </c>
    </row>
    <row r="997" spans="1:24" x14ac:dyDescent="0.25">
      <c r="G997" s="2" t="s">
        <v>1769</v>
      </c>
    </row>
    <row r="998" spans="1:24" x14ac:dyDescent="0.25">
      <c r="A998" s="2">
        <v>496</v>
      </c>
      <c r="B998" s="2">
        <v>12502</v>
      </c>
      <c r="C998" s="2" t="s">
        <v>754</v>
      </c>
      <c r="D998" s="2" t="s">
        <v>112</v>
      </c>
      <c r="E998" s="2" t="s">
        <v>84</v>
      </c>
      <c r="F998" s="2" t="s">
        <v>1770</v>
      </c>
      <c r="G998" s="2">
        <v>827.2</v>
      </c>
      <c r="H998" s="2">
        <v>0</v>
      </c>
      <c r="I998" s="2">
        <v>0</v>
      </c>
      <c r="J998" s="2">
        <v>0</v>
      </c>
      <c r="K998" s="2">
        <v>0</v>
      </c>
      <c r="L998" s="2">
        <v>0</v>
      </c>
      <c r="M998" s="2">
        <v>30</v>
      </c>
      <c r="N998" s="2">
        <v>0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v>0</v>
      </c>
      <c r="W998" s="2">
        <v>2</v>
      </c>
      <c r="X998" s="2">
        <v>857.2</v>
      </c>
    </row>
    <row r="999" spans="1:24" x14ac:dyDescent="0.25">
      <c r="G999" s="2" t="s">
        <v>1771</v>
      </c>
    </row>
    <row r="1000" spans="1:24" x14ac:dyDescent="0.25">
      <c r="A1000" s="2">
        <v>497</v>
      </c>
      <c r="B1000" s="2">
        <v>1276</v>
      </c>
      <c r="C1000" s="2" t="s">
        <v>1772</v>
      </c>
      <c r="D1000" s="2" t="s">
        <v>164</v>
      </c>
      <c r="E1000" s="2" t="s">
        <v>84</v>
      </c>
      <c r="F1000" s="2" t="s">
        <v>1773</v>
      </c>
      <c r="G1000" s="2">
        <v>856.9</v>
      </c>
      <c r="H1000" s="2">
        <v>0</v>
      </c>
      <c r="I1000" s="2">
        <v>0</v>
      </c>
      <c r="J1000" s="2">
        <v>0</v>
      </c>
      <c r="K1000" s="2">
        <v>0</v>
      </c>
      <c r="L1000" s="2">
        <v>0</v>
      </c>
      <c r="M1000" s="2">
        <v>0</v>
      </c>
      <c r="N1000" s="2">
        <v>0</v>
      </c>
      <c r="O1000" s="2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v>0</v>
      </c>
      <c r="W1000" s="2">
        <v>0</v>
      </c>
      <c r="X1000" s="2">
        <v>856.9</v>
      </c>
    </row>
    <row r="1001" spans="1:24" x14ac:dyDescent="0.25">
      <c r="G1001" s="2" t="s">
        <v>1774</v>
      </c>
    </row>
    <row r="1002" spans="1:24" x14ac:dyDescent="0.25">
      <c r="A1002" s="2">
        <v>498</v>
      </c>
      <c r="B1002" s="2">
        <v>5935</v>
      </c>
      <c r="C1002" s="2" t="s">
        <v>1775</v>
      </c>
      <c r="D1002" s="2" t="s">
        <v>182</v>
      </c>
      <c r="E1002" s="2" t="s">
        <v>590</v>
      </c>
      <c r="F1002" s="2" t="s">
        <v>1776</v>
      </c>
      <c r="G1002" s="2">
        <v>856.9</v>
      </c>
      <c r="H1002" s="2">
        <v>0</v>
      </c>
      <c r="I1002" s="2">
        <v>0</v>
      </c>
      <c r="J1002" s="2">
        <v>0</v>
      </c>
      <c r="K1002" s="2">
        <v>0</v>
      </c>
      <c r="L1002" s="2">
        <v>0</v>
      </c>
      <c r="M1002" s="2">
        <v>0</v>
      </c>
      <c r="N1002" s="2">
        <v>0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v>0</v>
      </c>
      <c r="W1002" s="2">
        <v>0</v>
      </c>
      <c r="X1002" s="2">
        <v>856.9</v>
      </c>
    </row>
    <row r="1003" spans="1:24" x14ac:dyDescent="0.25">
      <c r="G1003" s="2" t="s">
        <v>1777</v>
      </c>
    </row>
    <row r="1004" spans="1:24" x14ac:dyDescent="0.25">
      <c r="A1004" s="2">
        <v>499</v>
      </c>
      <c r="B1004" s="2">
        <v>5763</v>
      </c>
      <c r="C1004" s="2" t="s">
        <v>1778</v>
      </c>
      <c r="D1004" s="2" t="s">
        <v>373</v>
      </c>
      <c r="E1004" s="2" t="s">
        <v>597</v>
      </c>
      <c r="F1004" s="2" t="s">
        <v>1779</v>
      </c>
      <c r="G1004" s="2">
        <v>756.8</v>
      </c>
      <c r="H1004" s="2">
        <v>0</v>
      </c>
      <c r="I1004" s="2">
        <v>0</v>
      </c>
      <c r="J1004" s="2">
        <v>0</v>
      </c>
      <c r="K1004" s="2">
        <v>0</v>
      </c>
      <c r="L1004" s="2">
        <v>0</v>
      </c>
      <c r="M1004" s="2">
        <v>70</v>
      </c>
      <c r="N1004" s="2">
        <v>0</v>
      </c>
      <c r="O1004" s="2">
        <v>0</v>
      </c>
      <c r="P1004" s="2">
        <v>0</v>
      </c>
      <c r="Q1004" s="2">
        <v>30</v>
      </c>
      <c r="R1004" s="2">
        <v>0</v>
      </c>
      <c r="S1004" s="2">
        <v>0</v>
      </c>
      <c r="T1004" s="2">
        <v>0</v>
      </c>
      <c r="U1004" s="2">
        <v>0</v>
      </c>
      <c r="W1004" s="2">
        <v>0</v>
      </c>
      <c r="X1004" s="2">
        <v>856.8</v>
      </c>
    </row>
    <row r="1005" spans="1:24" x14ac:dyDescent="0.25">
      <c r="G1005" s="2" t="s">
        <v>1780</v>
      </c>
    </row>
    <row r="1006" spans="1:24" x14ac:dyDescent="0.25">
      <c r="A1006" s="2">
        <v>500</v>
      </c>
      <c r="B1006" s="2">
        <v>9183</v>
      </c>
      <c r="C1006" s="2" t="s">
        <v>1591</v>
      </c>
      <c r="D1006" s="2" t="s">
        <v>1334</v>
      </c>
      <c r="E1006" s="2" t="s">
        <v>374</v>
      </c>
      <c r="F1006" s="2" t="s">
        <v>1781</v>
      </c>
      <c r="G1006" s="2">
        <v>786.5</v>
      </c>
      <c r="H1006" s="2">
        <v>0</v>
      </c>
      <c r="I1006" s="2">
        <v>0</v>
      </c>
      <c r="J1006" s="2">
        <v>0</v>
      </c>
      <c r="K1006" s="2">
        <v>0</v>
      </c>
      <c r="L1006" s="2">
        <v>0</v>
      </c>
      <c r="M1006" s="2">
        <v>70</v>
      </c>
      <c r="N1006" s="2">
        <v>0</v>
      </c>
      <c r="O1006" s="2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v>0</v>
      </c>
      <c r="W1006" s="2">
        <v>0</v>
      </c>
      <c r="X1006" s="2">
        <v>856.5</v>
      </c>
    </row>
    <row r="1007" spans="1:24" x14ac:dyDescent="0.25">
      <c r="G1007" s="2" t="s">
        <v>1782</v>
      </c>
    </row>
    <row r="1008" spans="1:24" x14ac:dyDescent="0.25">
      <c r="A1008" s="2">
        <v>501</v>
      </c>
      <c r="B1008" s="2">
        <v>11784</v>
      </c>
      <c r="C1008" s="2" t="s">
        <v>1783</v>
      </c>
      <c r="D1008" s="2" t="s">
        <v>1784</v>
      </c>
      <c r="E1008" s="2" t="s">
        <v>1785</v>
      </c>
      <c r="F1008" s="2" t="s">
        <v>1786</v>
      </c>
      <c r="G1008" s="2">
        <v>826.1</v>
      </c>
      <c r="H1008" s="2">
        <v>0</v>
      </c>
      <c r="I1008" s="2">
        <v>0</v>
      </c>
      <c r="J1008" s="2">
        <v>0</v>
      </c>
      <c r="K1008" s="2">
        <v>0</v>
      </c>
      <c r="L1008" s="2">
        <v>0</v>
      </c>
      <c r="M1008" s="2">
        <v>30</v>
      </c>
      <c r="N1008" s="2">
        <v>0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v>0</v>
      </c>
      <c r="W1008" s="2">
        <v>0</v>
      </c>
      <c r="X1008" s="2">
        <v>856.1</v>
      </c>
    </row>
    <row r="1009" spans="1:24" x14ac:dyDescent="0.25">
      <c r="G1009" s="2" t="s">
        <v>1787</v>
      </c>
    </row>
    <row r="1010" spans="1:24" x14ac:dyDescent="0.25">
      <c r="A1010" s="2">
        <v>502</v>
      </c>
      <c r="B1010" s="2">
        <v>9725</v>
      </c>
      <c r="C1010" s="2" t="s">
        <v>1788</v>
      </c>
      <c r="D1010" s="2" t="s">
        <v>127</v>
      </c>
      <c r="E1010" s="2" t="s">
        <v>148</v>
      </c>
      <c r="F1010" s="2" t="s">
        <v>1789</v>
      </c>
      <c r="G1010" s="2">
        <v>826.1</v>
      </c>
      <c r="H1010" s="2">
        <v>0</v>
      </c>
      <c r="I1010" s="2">
        <v>0</v>
      </c>
      <c r="J1010" s="2">
        <v>0</v>
      </c>
      <c r="K1010" s="2">
        <v>0</v>
      </c>
      <c r="L1010" s="2">
        <v>0</v>
      </c>
      <c r="M1010" s="2">
        <v>30</v>
      </c>
      <c r="N1010" s="2">
        <v>0</v>
      </c>
      <c r="O1010" s="2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v>0</v>
      </c>
      <c r="W1010" s="2">
        <v>0</v>
      </c>
      <c r="X1010" s="2">
        <v>856.1</v>
      </c>
    </row>
    <row r="1011" spans="1:24" x14ac:dyDescent="0.25">
      <c r="G1011" s="2" t="s">
        <v>1790</v>
      </c>
    </row>
    <row r="1012" spans="1:24" x14ac:dyDescent="0.25">
      <c r="A1012" s="2">
        <v>503</v>
      </c>
      <c r="B1012" s="2">
        <v>10885</v>
      </c>
      <c r="C1012" s="2" t="s">
        <v>1791</v>
      </c>
      <c r="D1012" s="2" t="s">
        <v>50</v>
      </c>
      <c r="E1012" s="2" t="s">
        <v>39</v>
      </c>
      <c r="F1012" s="2" t="s">
        <v>1792</v>
      </c>
      <c r="G1012" s="2">
        <v>826.1</v>
      </c>
      <c r="H1012" s="2">
        <v>0</v>
      </c>
      <c r="I1012" s="2">
        <v>0</v>
      </c>
      <c r="J1012" s="2">
        <v>0</v>
      </c>
      <c r="K1012" s="2">
        <v>0</v>
      </c>
      <c r="L1012" s="2">
        <v>0</v>
      </c>
      <c r="M1012" s="2">
        <v>30</v>
      </c>
      <c r="N1012" s="2">
        <v>0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v>0</v>
      </c>
      <c r="W1012" s="2">
        <v>0</v>
      </c>
      <c r="X1012" s="2">
        <v>856.1</v>
      </c>
    </row>
    <row r="1013" spans="1:24" x14ac:dyDescent="0.25">
      <c r="G1013" s="2" t="s">
        <v>1793</v>
      </c>
    </row>
    <row r="1014" spans="1:24" x14ac:dyDescent="0.25">
      <c r="A1014" s="2">
        <v>504</v>
      </c>
      <c r="B1014" s="2">
        <v>12881</v>
      </c>
      <c r="C1014" s="2" t="s">
        <v>1794</v>
      </c>
      <c r="D1014" s="2" t="s">
        <v>90</v>
      </c>
      <c r="E1014" s="2" t="s">
        <v>194</v>
      </c>
      <c r="F1014" s="2" t="s">
        <v>1795</v>
      </c>
      <c r="G1014" s="2">
        <v>826.1</v>
      </c>
      <c r="H1014" s="2">
        <v>0</v>
      </c>
      <c r="I1014" s="2">
        <v>0</v>
      </c>
      <c r="J1014" s="2">
        <v>0</v>
      </c>
      <c r="K1014" s="2">
        <v>0</v>
      </c>
      <c r="L1014" s="2">
        <v>0</v>
      </c>
      <c r="M1014" s="2">
        <v>30</v>
      </c>
      <c r="N1014" s="2">
        <v>0</v>
      </c>
      <c r="O1014" s="2">
        <v>0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v>0</v>
      </c>
      <c r="W1014" s="2">
        <v>0</v>
      </c>
      <c r="X1014" s="2">
        <v>856.1</v>
      </c>
    </row>
    <row r="1015" spans="1:24" x14ac:dyDescent="0.25">
      <c r="G1015" s="2" t="s">
        <v>1796</v>
      </c>
    </row>
    <row r="1016" spans="1:24" x14ac:dyDescent="0.25">
      <c r="A1016" s="2">
        <v>505</v>
      </c>
      <c r="B1016" s="2">
        <v>2849</v>
      </c>
      <c r="C1016" s="2" t="s">
        <v>1084</v>
      </c>
      <c r="D1016" s="2" t="s">
        <v>98</v>
      </c>
      <c r="E1016" s="2" t="s">
        <v>1797</v>
      </c>
      <c r="F1016" s="2" t="s">
        <v>1798</v>
      </c>
      <c r="G1016" s="2">
        <v>855.8</v>
      </c>
      <c r="H1016" s="2">
        <v>0</v>
      </c>
      <c r="I1016" s="2">
        <v>0</v>
      </c>
      <c r="J1016" s="2">
        <v>0</v>
      </c>
      <c r="K1016" s="2">
        <v>0</v>
      </c>
      <c r="L1016" s="2">
        <v>0</v>
      </c>
      <c r="M1016" s="2">
        <v>0</v>
      </c>
      <c r="N1016" s="2">
        <v>0</v>
      </c>
      <c r="O1016" s="2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v>0</v>
      </c>
      <c r="W1016" s="2">
        <v>0</v>
      </c>
      <c r="X1016" s="2">
        <v>855.8</v>
      </c>
    </row>
    <row r="1017" spans="1:24" x14ac:dyDescent="0.25">
      <c r="G1017" s="2" t="s">
        <v>1799</v>
      </c>
    </row>
    <row r="1018" spans="1:24" x14ac:dyDescent="0.25">
      <c r="A1018" s="2">
        <v>506</v>
      </c>
      <c r="B1018" s="2">
        <v>8123</v>
      </c>
      <c r="C1018" s="2" t="s">
        <v>1800</v>
      </c>
      <c r="D1018" s="2" t="s">
        <v>1801</v>
      </c>
      <c r="E1018" s="2" t="s">
        <v>1802</v>
      </c>
      <c r="F1018" s="2" t="s">
        <v>1803</v>
      </c>
      <c r="G1018" s="2">
        <v>855.8</v>
      </c>
      <c r="H1018" s="2">
        <v>0</v>
      </c>
      <c r="I1018" s="2">
        <v>0</v>
      </c>
      <c r="J1018" s="2">
        <v>0</v>
      </c>
      <c r="K1018" s="2">
        <v>0</v>
      </c>
      <c r="L1018" s="2">
        <v>0</v>
      </c>
      <c r="M1018" s="2">
        <v>0</v>
      </c>
      <c r="N1018" s="2">
        <v>0</v>
      </c>
      <c r="O1018" s="2">
        <v>0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v>0</v>
      </c>
      <c r="W1018" s="2">
        <v>0</v>
      </c>
      <c r="X1018" s="2">
        <v>855.8</v>
      </c>
    </row>
    <row r="1019" spans="1:24" x14ac:dyDescent="0.25">
      <c r="G1019" s="2" t="s">
        <v>1804</v>
      </c>
    </row>
    <row r="1020" spans="1:24" x14ac:dyDescent="0.25">
      <c r="A1020" s="2">
        <v>507</v>
      </c>
      <c r="B1020" s="2">
        <v>3958</v>
      </c>
      <c r="C1020" s="2" t="s">
        <v>1805</v>
      </c>
      <c r="D1020" s="2" t="s">
        <v>194</v>
      </c>
      <c r="E1020" s="2" t="s">
        <v>51</v>
      </c>
      <c r="F1020" s="2" t="s">
        <v>1806</v>
      </c>
      <c r="G1020" s="2">
        <v>805.2</v>
      </c>
      <c r="H1020" s="2">
        <v>0</v>
      </c>
      <c r="I1020" s="2">
        <v>0</v>
      </c>
      <c r="J1020" s="2">
        <v>0</v>
      </c>
      <c r="K1020" s="2">
        <v>0</v>
      </c>
      <c r="L1020" s="2">
        <v>0</v>
      </c>
      <c r="M1020" s="2">
        <v>50</v>
      </c>
      <c r="N1020" s="2">
        <v>0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v>0</v>
      </c>
      <c r="W1020" s="2">
        <v>0</v>
      </c>
      <c r="X1020" s="2">
        <v>855.2</v>
      </c>
    </row>
    <row r="1021" spans="1:24" x14ac:dyDescent="0.25">
      <c r="G1021" s="2" t="s">
        <v>1807</v>
      </c>
    </row>
    <row r="1022" spans="1:24" x14ac:dyDescent="0.25">
      <c r="A1022" s="2">
        <v>508</v>
      </c>
      <c r="B1022" s="2">
        <v>10549</v>
      </c>
      <c r="C1022" s="2" t="s">
        <v>1808</v>
      </c>
      <c r="D1022" s="2" t="s">
        <v>248</v>
      </c>
      <c r="E1022" s="2" t="s">
        <v>1809</v>
      </c>
      <c r="F1022" s="2" t="s">
        <v>1810</v>
      </c>
      <c r="G1022" s="2">
        <v>825</v>
      </c>
      <c r="H1022" s="2">
        <v>0</v>
      </c>
      <c r="I1022" s="2">
        <v>0</v>
      </c>
      <c r="J1022" s="2">
        <v>0</v>
      </c>
      <c r="K1022" s="2">
        <v>0</v>
      </c>
      <c r="L1022" s="2">
        <v>0</v>
      </c>
      <c r="M1022" s="2">
        <v>30</v>
      </c>
      <c r="N1022" s="2">
        <v>0</v>
      </c>
      <c r="O1022" s="2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v>0</v>
      </c>
      <c r="W1022" s="2">
        <v>0</v>
      </c>
      <c r="X1022" s="2">
        <v>855</v>
      </c>
    </row>
    <row r="1023" spans="1:24" x14ac:dyDescent="0.25">
      <c r="G1023" s="2" t="s">
        <v>1811</v>
      </c>
    </row>
    <row r="1024" spans="1:24" x14ac:dyDescent="0.25">
      <c r="A1024" s="2">
        <v>509</v>
      </c>
      <c r="B1024" s="2">
        <v>6262</v>
      </c>
      <c r="C1024" s="2" t="s">
        <v>1812</v>
      </c>
      <c r="D1024" s="2" t="s">
        <v>248</v>
      </c>
      <c r="E1024" s="2" t="s">
        <v>194</v>
      </c>
      <c r="F1024" s="2" t="s">
        <v>1813</v>
      </c>
      <c r="G1024" s="2">
        <v>794.2</v>
      </c>
      <c r="H1024" s="2">
        <v>0</v>
      </c>
      <c r="I1024" s="2">
        <v>0</v>
      </c>
      <c r="J1024" s="2">
        <v>0</v>
      </c>
      <c r="K1024" s="2">
        <v>0</v>
      </c>
      <c r="L1024" s="2">
        <v>0</v>
      </c>
      <c r="M1024" s="2">
        <v>30</v>
      </c>
      <c r="N1024" s="2">
        <v>30</v>
      </c>
      <c r="O1024" s="2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v>0</v>
      </c>
      <c r="W1024" s="2">
        <v>0</v>
      </c>
      <c r="X1024" s="2">
        <v>854.2</v>
      </c>
    </row>
    <row r="1025" spans="1:24" x14ac:dyDescent="0.25">
      <c r="G1025" s="2" t="s">
        <v>1814</v>
      </c>
    </row>
    <row r="1026" spans="1:24" x14ac:dyDescent="0.25">
      <c r="A1026" s="2">
        <v>510</v>
      </c>
      <c r="B1026" s="2">
        <v>14389</v>
      </c>
      <c r="C1026" s="2" t="s">
        <v>1815</v>
      </c>
      <c r="D1026" s="2" t="s">
        <v>164</v>
      </c>
      <c r="E1026" s="2" t="s">
        <v>16</v>
      </c>
      <c r="F1026" s="2" t="s">
        <v>1816</v>
      </c>
      <c r="G1026" s="2">
        <v>823.9</v>
      </c>
      <c r="H1026" s="2">
        <v>0</v>
      </c>
      <c r="I1026" s="2">
        <v>0</v>
      </c>
      <c r="J1026" s="2">
        <v>0</v>
      </c>
      <c r="K1026" s="2">
        <v>0</v>
      </c>
      <c r="L1026" s="2">
        <v>0</v>
      </c>
      <c r="M1026" s="2">
        <v>30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v>0</v>
      </c>
      <c r="W1026" s="2">
        <v>0</v>
      </c>
      <c r="X1026" s="2">
        <v>853.9</v>
      </c>
    </row>
    <row r="1027" spans="1:24" x14ac:dyDescent="0.25">
      <c r="G1027" s="2" t="s">
        <v>1817</v>
      </c>
    </row>
    <row r="1028" spans="1:24" x14ac:dyDescent="0.25">
      <c r="A1028" s="2">
        <v>511</v>
      </c>
      <c r="B1028" s="2">
        <v>14822</v>
      </c>
      <c r="C1028" s="2" t="s">
        <v>1818</v>
      </c>
      <c r="D1028" s="2" t="s">
        <v>248</v>
      </c>
      <c r="E1028" s="2" t="s">
        <v>73</v>
      </c>
      <c r="F1028" s="2" t="s">
        <v>1819</v>
      </c>
      <c r="G1028" s="2">
        <v>853.6</v>
      </c>
      <c r="H1028" s="2">
        <v>0</v>
      </c>
      <c r="I1028" s="2">
        <v>0</v>
      </c>
      <c r="J1028" s="2">
        <v>0</v>
      </c>
      <c r="K1028" s="2">
        <v>0</v>
      </c>
      <c r="L1028" s="2">
        <v>0</v>
      </c>
      <c r="M1028" s="2">
        <v>0</v>
      </c>
      <c r="N1028" s="2">
        <v>0</v>
      </c>
      <c r="O1028" s="2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v>0</v>
      </c>
      <c r="W1028" s="2">
        <v>2</v>
      </c>
      <c r="X1028" s="2">
        <v>853.6</v>
      </c>
    </row>
    <row r="1029" spans="1:24" x14ac:dyDescent="0.25">
      <c r="G1029" s="2" t="s">
        <v>1820</v>
      </c>
    </row>
    <row r="1030" spans="1:24" x14ac:dyDescent="0.25">
      <c r="A1030" s="2">
        <v>512</v>
      </c>
      <c r="B1030" s="2">
        <v>4146</v>
      </c>
      <c r="C1030" s="2" t="s">
        <v>1393</v>
      </c>
      <c r="D1030" s="2" t="s">
        <v>94</v>
      </c>
      <c r="E1030" s="2" t="s">
        <v>342</v>
      </c>
      <c r="F1030" s="2" t="s">
        <v>1821</v>
      </c>
      <c r="G1030" s="2">
        <v>853.6</v>
      </c>
      <c r="H1030" s="2">
        <v>0</v>
      </c>
      <c r="I1030" s="2">
        <v>0</v>
      </c>
      <c r="J1030" s="2">
        <v>0</v>
      </c>
      <c r="K1030" s="2">
        <v>0</v>
      </c>
      <c r="L1030" s="2">
        <v>0</v>
      </c>
      <c r="M1030" s="2">
        <v>0</v>
      </c>
      <c r="N1030" s="2">
        <v>0</v>
      </c>
      <c r="O1030" s="2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v>0</v>
      </c>
      <c r="W1030" s="2">
        <v>0</v>
      </c>
      <c r="X1030" s="2">
        <v>853.6</v>
      </c>
    </row>
    <row r="1031" spans="1:24" x14ac:dyDescent="0.25">
      <c r="G1031" s="2" t="s">
        <v>1822</v>
      </c>
    </row>
    <row r="1032" spans="1:24" x14ac:dyDescent="0.25">
      <c r="A1032" s="2">
        <v>513</v>
      </c>
      <c r="B1032" s="2">
        <v>2336</v>
      </c>
      <c r="C1032" s="2" t="s">
        <v>1823</v>
      </c>
      <c r="D1032" s="2" t="s">
        <v>1824</v>
      </c>
      <c r="E1032" s="2" t="s">
        <v>144</v>
      </c>
      <c r="F1032" s="2" t="s">
        <v>1825</v>
      </c>
      <c r="G1032" s="2">
        <v>803</v>
      </c>
      <c r="H1032" s="2">
        <v>0</v>
      </c>
      <c r="I1032" s="2">
        <v>0</v>
      </c>
      <c r="J1032" s="2">
        <v>0</v>
      </c>
      <c r="K1032" s="2">
        <v>0</v>
      </c>
      <c r="L1032" s="2">
        <v>0</v>
      </c>
      <c r="M1032" s="2">
        <v>50</v>
      </c>
      <c r="N1032" s="2">
        <v>0</v>
      </c>
      <c r="O1032" s="2">
        <v>0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v>0</v>
      </c>
      <c r="W1032" s="2">
        <v>0</v>
      </c>
      <c r="X1032" s="2">
        <v>853</v>
      </c>
    </row>
    <row r="1033" spans="1:24" x14ac:dyDescent="0.25">
      <c r="G1033" s="2" t="s">
        <v>1826</v>
      </c>
    </row>
    <row r="1034" spans="1:24" x14ac:dyDescent="0.25">
      <c r="A1034" s="2">
        <v>514</v>
      </c>
      <c r="B1034" s="2">
        <v>9338</v>
      </c>
      <c r="C1034" s="2" t="s">
        <v>1827</v>
      </c>
      <c r="D1034" s="2" t="s">
        <v>112</v>
      </c>
      <c r="E1034" s="2" t="s">
        <v>194</v>
      </c>
      <c r="F1034" s="2" t="s">
        <v>1828</v>
      </c>
      <c r="G1034" s="2">
        <v>822.8</v>
      </c>
      <c r="H1034" s="2">
        <v>0</v>
      </c>
      <c r="I1034" s="2">
        <v>0</v>
      </c>
      <c r="J1034" s="2">
        <v>0</v>
      </c>
      <c r="K1034" s="2">
        <v>0</v>
      </c>
      <c r="L1034" s="2">
        <v>0</v>
      </c>
      <c r="M1034" s="2">
        <v>30</v>
      </c>
      <c r="N1034" s="2">
        <v>0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v>0</v>
      </c>
      <c r="W1034" s="2">
        <v>0</v>
      </c>
      <c r="X1034" s="2">
        <v>852.8</v>
      </c>
    </row>
    <row r="1035" spans="1:24" x14ac:dyDescent="0.25">
      <c r="G1035" s="2" t="s">
        <v>1829</v>
      </c>
    </row>
    <row r="1036" spans="1:24" x14ac:dyDescent="0.25">
      <c r="A1036" s="2">
        <v>515</v>
      </c>
      <c r="B1036" s="2">
        <v>12497</v>
      </c>
      <c r="C1036" s="2" t="s">
        <v>1830</v>
      </c>
      <c r="D1036" s="2" t="s">
        <v>164</v>
      </c>
      <c r="E1036" s="2" t="s">
        <v>84</v>
      </c>
      <c r="F1036" s="2" t="s">
        <v>1831</v>
      </c>
      <c r="G1036" s="2">
        <v>822.8</v>
      </c>
      <c r="H1036" s="2">
        <v>0</v>
      </c>
      <c r="I1036" s="2">
        <v>0</v>
      </c>
      <c r="J1036" s="2">
        <v>0</v>
      </c>
      <c r="K1036" s="2">
        <v>0</v>
      </c>
      <c r="L1036" s="2">
        <v>0</v>
      </c>
      <c r="M1036" s="2">
        <v>30</v>
      </c>
      <c r="N1036" s="2">
        <v>0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v>0</v>
      </c>
      <c r="W1036" s="2">
        <v>0</v>
      </c>
      <c r="X1036" s="2">
        <v>852.8</v>
      </c>
    </row>
    <row r="1037" spans="1:24" x14ac:dyDescent="0.25">
      <c r="G1037" s="2" t="s">
        <v>1832</v>
      </c>
    </row>
    <row r="1038" spans="1:24" x14ac:dyDescent="0.25">
      <c r="A1038" s="2">
        <v>516</v>
      </c>
      <c r="B1038" s="2">
        <v>12003</v>
      </c>
      <c r="C1038" s="2" t="s">
        <v>1833</v>
      </c>
      <c r="D1038" s="2" t="s">
        <v>138</v>
      </c>
      <c r="E1038" s="2" t="s">
        <v>144</v>
      </c>
      <c r="F1038" s="2" t="s">
        <v>1834</v>
      </c>
      <c r="G1038" s="2">
        <v>852.5</v>
      </c>
      <c r="H1038" s="2">
        <v>0</v>
      </c>
      <c r="I1038" s="2">
        <v>0</v>
      </c>
      <c r="J1038" s="2">
        <v>0</v>
      </c>
      <c r="K1038" s="2">
        <v>0</v>
      </c>
      <c r="L1038" s="2">
        <v>0</v>
      </c>
      <c r="M1038" s="2">
        <v>0</v>
      </c>
      <c r="N1038" s="2">
        <v>0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v>0</v>
      </c>
      <c r="W1038" s="2">
        <v>0</v>
      </c>
      <c r="X1038" s="2">
        <v>852.5</v>
      </c>
    </row>
    <row r="1039" spans="1:24" x14ac:dyDescent="0.25">
      <c r="G1039" s="2" t="s">
        <v>1835</v>
      </c>
    </row>
    <row r="1040" spans="1:24" x14ac:dyDescent="0.25">
      <c r="A1040" s="2">
        <v>517</v>
      </c>
      <c r="B1040" s="2">
        <v>9190</v>
      </c>
      <c r="C1040" s="2" t="s">
        <v>1836</v>
      </c>
      <c r="D1040" s="2" t="s">
        <v>430</v>
      </c>
      <c r="E1040" s="2" t="s">
        <v>1837</v>
      </c>
      <c r="F1040" s="2" t="s">
        <v>1838</v>
      </c>
      <c r="G1040" s="2">
        <v>852.5</v>
      </c>
      <c r="H1040" s="2">
        <v>0</v>
      </c>
      <c r="I1040" s="2">
        <v>0</v>
      </c>
      <c r="J1040" s="2">
        <v>0</v>
      </c>
      <c r="K1040" s="2">
        <v>0</v>
      </c>
      <c r="L1040" s="2">
        <v>0</v>
      </c>
      <c r="M1040" s="2">
        <v>0</v>
      </c>
      <c r="N1040" s="2">
        <v>0</v>
      </c>
      <c r="O1040" s="2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v>0</v>
      </c>
      <c r="W1040" s="2">
        <v>0</v>
      </c>
      <c r="X1040" s="2">
        <v>852.5</v>
      </c>
    </row>
    <row r="1041" spans="1:24" x14ac:dyDescent="0.25">
      <c r="G1041" s="2" t="s">
        <v>1839</v>
      </c>
    </row>
    <row r="1042" spans="1:24" x14ac:dyDescent="0.25">
      <c r="A1042" s="2">
        <v>518</v>
      </c>
      <c r="B1042" s="2">
        <v>17308</v>
      </c>
      <c r="C1042" s="2" t="s">
        <v>1840</v>
      </c>
      <c r="D1042" s="2" t="s">
        <v>1841</v>
      </c>
      <c r="E1042" s="2" t="s">
        <v>84</v>
      </c>
      <c r="F1042" s="2" t="s">
        <v>1842</v>
      </c>
      <c r="G1042" s="2">
        <v>782.1</v>
      </c>
      <c r="H1042" s="2">
        <v>0</v>
      </c>
      <c r="I1042" s="2">
        <v>0</v>
      </c>
      <c r="J1042" s="2">
        <v>0</v>
      </c>
      <c r="K1042" s="2">
        <v>0</v>
      </c>
      <c r="L1042" s="2">
        <v>0</v>
      </c>
      <c r="M1042" s="2">
        <v>70</v>
      </c>
      <c r="N1042" s="2">
        <v>0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v>0</v>
      </c>
      <c r="W1042" s="2">
        <v>0</v>
      </c>
      <c r="X1042" s="2">
        <v>852.1</v>
      </c>
    </row>
    <row r="1043" spans="1:24" x14ac:dyDescent="0.25">
      <c r="G1043" s="2" t="s">
        <v>1843</v>
      </c>
    </row>
    <row r="1044" spans="1:24" x14ac:dyDescent="0.25">
      <c r="A1044" s="2">
        <v>519</v>
      </c>
      <c r="B1044" s="2">
        <v>2324</v>
      </c>
      <c r="C1044" s="2" t="s">
        <v>1844</v>
      </c>
      <c r="D1044" s="2" t="s">
        <v>56</v>
      </c>
      <c r="E1044" s="2" t="s">
        <v>84</v>
      </c>
      <c r="F1044" s="2" t="s">
        <v>1845</v>
      </c>
      <c r="G1044" s="2">
        <v>821.7</v>
      </c>
      <c r="H1044" s="2">
        <v>0</v>
      </c>
      <c r="I1044" s="2">
        <v>0</v>
      </c>
      <c r="J1044" s="2">
        <v>0</v>
      </c>
      <c r="K1044" s="2">
        <v>0</v>
      </c>
      <c r="L1044" s="2">
        <v>0</v>
      </c>
      <c r="M1044" s="2">
        <v>30</v>
      </c>
      <c r="N1044" s="2">
        <v>0</v>
      </c>
      <c r="O1044" s="2">
        <v>0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v>0</v>
      </c>
      <c r="W1044" s="2">
        <v>0</v>
      </c>
      <c r="X1044" s="2">
        <v>851.7</v>
      </c>
    </row>
    <row r="1045" spans="1:24" x14ac:dyDescent="0.25">
      <c r="G1045" s="2" t="s">
        <v>1846</v>
      </c>
    </row>
    <row r="1046" spans="1:24" x14ac:dyDescent="0.25">
      <c r="A1046" s="2">
        <v>520</v>
      </c>
      <c r="B1046" s="2">
        <v>5888</v>
      </c>
      <c r="C1046" s="2" t="s">
        <v>1847</v>
      </c>
      <c r="D1046" s="2" t="s">
        <v>112</v>
      </c>
      <c r="E1046" s="2" t="s">
        <v>138</v>
      </c>
      <c r="F1046" s="2" t="s">
        <v>1848</v>
      </c>
      <c r="G1046" s="2">
        <v>821.7</v>
      </c>
      <c r="H1046" s="2">
        <v>0</v>
      </c>
      <c r="I1046" s="2">
        <v>0</v>
      </c>
      <c r="J1046" s="2">
        <v>0</v>
      </c>
      <c r="K1046" s="2">
        <v>0</v>
      </c>
      <c r="L1046" s="2">
        <v>0</v>
      </c>
      <c r="M1046" s="2">
        <v>30</v>
      </c>
      <c r="N1046" s="2">
        <v>0</v>
      </c>
      <c r="O1046" s="2">
        <v>0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v>0</v>
      </c>
      <c r="W1046" s="2">
        <v>2</v>
      </c>
      <c r="X1046" s="2">
        <v>851.7</v>
      </c>
    </row>
    <row r="1047" spans="1:24" x14ac:dyDescent="0.25">
      <c r="G1047" s="2" t="s">
        <v>1849</v>
      </c>
    </row>
    <row r="1048" spans="1:24" x14ac:dyDescent="0.25">
      <c r="A1048" s="2">
        <v>521</v>
      </c>
      <c r="B1048" s="2">
        <v>8811</v>
      </c>
      <c r="C1048" s="2" t="s">
        <v>1850</v>
      </c>
      <c r="D1048" s="2" t="s">
        <v>1851</v>
      </c>
      <c r="E1048" s="2" t="s">
        <v>39</v>
      </c>
      <c r="F1048" s="2" t="s">
        <v>1852</v>
      </c>
      <c r="G1048" s="2">
        <v>851.4</v>
      </c>
      <c r="H1048" s="2">
        <v>0</v>
      </c>
      <c r="I1048" s="2">
        <v>0</v>
      </c>
      <c r="J1048" s="2">
        <v>0</v>
      </c>
      <c r="K1048" s="2">
        <v>0</v>
      </c>
      <c r="L1048" s="2">
        <v>0</v>
      </c>
      <c r="M1048" s="2">
        <v>0</v>
      </c>
      <c r="N1048" s="2">
        <v>0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v>0</v>
      </c>
      <c r="W1048" s="2">
        <v>2</v>
      </c>
      <c r="X1048" s="2">
        <v>851.4</v>
      </c>
    </row>
    <row r="1049" spans="1:24" x14ac:dyDescent="0.25">
      <c r="G1049" s="2" t="s">
        <v>1853</v>
      </c>
    </row>
    <row r="1050" spans="1:24" x14ac:dyDescent="0.25">
      <c r="A1050" s="2">
        <v>522</v>
      </c>
      <c r="B1050" s="2">
        <v>3279</v>
      </c>
      <c r="C1050" s="2" t="s">
        <v>1854</v>
      </c>
      <c r="D1050" s="2" t="s">
        <v>164</v>
      </c>
      <c r="E1050" s="2" t="s">
        <v>16</v>
      </c>
      <c r="F1050" s="2" t="s">
        <v>1855</v>
      </c>
      <c r="G1050" s="2">
        <v>851.4</v>
      </c>
      <c r="H1050" s="2">
        <v>0</v>
      </c>
      <c r="I1050" s="2">
        <v>0</v>
      </c>
      <c r="J1050" s="2">
        <v>0</v>
      </c>
      <c r="K1050" s="2">
        <v>0</v>
      </c>
      <c r="L1050" s="2">
        <v>0</v>
      </c>
      <c r="M1050" s="2">
        <v>0</v>
      </c>
      <c r="N1050" s="2">
        <v>0</v>
      </c>
      <c r="O1050" s="2">
        <v>0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v>0</v>
      </c>
      <c r="W1050" s="2">
        <v>0</v>
      </c>
      <c r="X1050" s="2">
        <v>851.4</v>
      </c>
    </row>
    <row r="1051" spans="1:24" x14ac:dyDescent="0.25">
      <c r="G1051" s="2" t="s">
        <v>1856</v>
      </c>
    </row>
    <row r="1052" spans="1:24" x14ac:dyDescent="0.25">
      <c r="A1052" s="2">
        <v>523</v>
      </c>
      <c r="B1052" s="2">
        <v>10377</v>
      </c>
      <c r="C1052" s="2" t="s">
        <v>1857</v>
      </c>
      <c r="D1052" s="2" t="s">
        <v>248</v>
      </c>
      <c r="E1052" s="2" t="s">
        <v>51</v>
      </c>
      <c r="F1052" s="2" t="s">
        <v>1858</v>
      </c>
      <c r="G1052" s="2">
        <v>851.4</v>
      </c>
      <c r="H1052" s="2">
        <v>0</v>
      </c>
      <c r="I1052" s="2">
        <v>0</v>
      </c>
      <c r="J1052" s="2">
        <v>0</v>
      </c>
      <c r="K1052" s="2">
        <v>0</v>
      </c>
      <c r="L1052" s="2">
        <v>0</v>
      </c>
      <c r="M1052" s="2">
        <v>0</v>
      </c>
      <c r="N1052" s="2">
        <v>0</v>
      </c>
      <c r="O1052" s="2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v>0</v>
      </c>
      <c r="W1052" s="2">
        <v>0</v>
      </c>
      <c r="X1052" s="2">
        <v>851.4</v>
      </c>
    </row>
    <row r="1053" spans="1:24" x14ac:dyDescent="0.25">
      <c r="G1053" s="2" t="s">
        <v>1859</v>
      </c>
    </row>
    <row r="1054" spans="1:24" x14ac:dyDescent="0.25">
      <c r="A1054" s="2">
        <v>524</v>
      </c>
      <c r="B1054" s="2">
        <v>13202</v>
      </c>
      <c r="C1054" s="2" t="s">
        <v>1860</v>
      </c>
      <c r="D1054" s="2" t="s">
        <v>50</v>
      </c>
      <c r="E1054" s="2" t="s">
        <v>318</v>
      </c>
      <c r="F1054" s="2" t="s">
        <v>1861</v>
      </c>
      <c r="G1054" s="2">
        <v>851.4</v>
      </c>
      <c r="H1054" s="2">
        <v>0</v>
      </c>
      <c r="I1054" s="2">
        <v>0</v>
      </c>
      <c r="J1054" s="2">
        <v>0</v>
      </c>
      <c r="K1054" s="2">
        <v>0</v>
      </c>
      <c r="L1054" s="2">
        <v>0</v>
      </c>
      <c r="M1054" s="2">
        <v>0</v>
      </c>
      <c r="N1054" s="2">
        <v>0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v>0</v>
      </c>
      <c r="W1054" s="2">
        <v>0</v>
      </c>
      <c r="X1054" s="2">
        <v>851.4</v>
      </c>
    </row>
    <row r="1055" spans="1:24" x14ac:dyDescent="0.25">
      <c r="G1055" s="2" t="s">
        <v>1862</v>
      </c>
    </row>
    <row r="1056" spans="1:24" x14ac:dyDescent="0.25">
      <c r="A1056" s="2">
        <v>525</v>
      </c>
      <c r="B1056" s="2">
        <v>15283</v>
      </c>
      <c r="C1056" s="2" t="s">
        <v>1863</v>
      </c>
      <c r="D1056" s="2" t="s">
        <v>730</v>
      </c>
      <c r="E1056" s="2" t="s">
        <v>122</v>
      </c>
      <c r="F1056" s="2" t="s">
        <v>1864</v>
      </c>
      <c r="G1056" s="2">
        <v>851.4</v>
      </c>
      <c r="H1056" s="2">
        <v>0</v>
      </c>
      <c r="I1056" s="2">
        <v>0</v>
      </c>
      <c r="J1056" s="2">
        <v>0</v>
      </c>
      <c r="K1056" s="2">
        <v>0</v>
      </c>
      <c r="L1056" s="2">
        <v>0</v>
      </c>
      <c r="M1056" s="2">
        <v>0</v>
      </c>
      <c r="N1056" s="2">
        <v>0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v>0</v>
      </c>
      <c r="W1056" s="2">
        <v>0</v>
      </c>
      <c r="X1056" s="2">
        <v>851.4</v>
      </c>
    </row>
    <row r="1057" spans="1:24" x14ac:dyDescent="0.25">
      <c r="G1057" s="2" t="s">
        <v>1865</v>
      </c>
    </row>
    <row r="1058" spans="1:24" x14ac:dyDescent="0.25">
      <c r="A1058" s="2">
        <v>526</v>
      </c>
      <c r="B1058" s="2">
        <v>6726</v>
      </c>
      <c r="C1058" s="2" t="s">
        <v>491</v>
      </c>
      <c r="D1058" s="2" t="s">
        <v>127</v>
      </c>
      <c r="E1058" s="2" t="s">
        <v>204</v>
      </c>
      <c r="F1058" s="2" t="s">
        <v>1866</v>
      </c>
      <c r="G1058" s="2">
        <v>851.4</v>
      </c>
      <c r="H1058" s="2">
        <v>0</v>
      </c>
      <c r="I1058" s="2">
        <v>0</v>
      </c>
      <c r="J1058" s="2">
        <v>0</v>
      </c>
      <c r="K1058" s="2">
        <v>0</v>
      </c>
      <c r="L1058" s="2">
        <v>0</v>
      </c>
      <c r="M1058" s="2">
        <v>0</v>
      </c>
      <c r="N1058" s="2">
        <v>0</v>
      </c>
      <c r="O1058" s="2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v>0</v>
      </c>
      <c r="W1058" s="2">
        <v>1</v>
      </c>
      <c r="X1058" s="2">
        <v>851.4</v>
      </c>
    </row>
    <row r="1059" spans="1:24" x14ac:dyDescent="0.25">
      <c r="G1059" s="2" t="s">
        <v>1867</v>
      </c>
    </row>
    <row r="1060" spans="1:24" x14ac:dyDescent="0.25">
      <c r="A1060" s="2">
        <v>527</v>
      </c>
      <c r="B1060" s="2">
        <v>1735</v>
      </c>
      <c r="C1060" s="2" t="s">
        <v>1868</v>
      </c>
      <c r="D1060" s="2" t="s">
        <v>112</v>
      </c>
      <c r="E1060" s="2" t="s">
        <v>39</v>
      </c>
      <c r="F1060" s="2" t="s">
        <v>1869</v>
      </c>
      <c r="G1060" s="2">
        <v>781</v>
      </c>
      <c r="H1060" s="2">
        <v>0</v>
      </c>
      <c r="I1060" s="2">
        <v>0</v>
      </c>
      <c r="J1060" s="2">
        <v>0</v>
      </c>
      <c r="K1060" s="2">
        <v>0</v>
      </c>
      <c r="L1060" s="2">
        <v>0</v>
      </c>
      <c r="M1060" s="2">
        <v>70</v>
      </c>
      <c r="N1060" s="2">
        <v>0</v>
      </c>
      <c r="O1060" s="2">
        <v>0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v>0</v>
      </c>
      <c r="W1060" s="2">
        <v>0</v>
      </c>
      <c r="X1060" s="2">
        <v>851</v>
      </c>
    </row>
    <row r="1061" spans="1:24" x14ac:dyDescent="0.25">
      <c r="G1061" s="2" t="s">
        <v>1870</v>
      </c>
    </row>
    <row r="1062" spans="1:24" x14ac:dyDescent="0.25">
      <c r="A1062" s="2">
        <v>528</v>
      </c>
      <c r="B1062" s="2">
        <v>15346</v>
      </c>
      <c r="C1062" s="2" t="s">
        <v>1871</v>
      </c>
      <c r="D1062" s="2" t="s">
        <v>144</v>
      </c>
      <c r="E1062" s="2" t="s">
        <v>39</v>
      </c>
      <c r="F1062" s="2" t="s">
        <v>1872</v>
      </c>
      <c r="G1062" s="2">
        <v>790.9</v>
      </c>
      <c r="H1062" s="2">
        <v>0</v>
      </c>
      <c r="I1062" s="2">
        <v>0</v>
      </c>
      <c r="J1062" s="2">
        <v>0</v>
      </c>
      <c r="K1062" s="2">
        <v>0</v>
      </c>
      <c r="L1062" s="2">
        <v>0</v>
      </c>
      <c r="M1062" s="2">
        <v>30</v>
      </c>
      <c r="N1062" s="2">
        <v>30</v>
      </c>
      <c r="O1062" s="2">
        <v>0</v>
      </c>
      <c r="P1062" s="2">
        <v>0</v>
      </c>
      <c r="Q1062" s="2">
        <v>0</v>
      </c>
      <c r="R1062" s="2">
        <v>0</v>
      </c>
      <c r="S1062" s="2">
        <v>0</v>
      </c>
      <c r="T1062" s="2">
        <v>0</v>
      </c>
      <c r="U1062" s="2">
        <v>0</v>
      </c>
      <c r="W1062" s="2">
        <v>0</v>
      </c>
      <c r="X1062" s="2">
        <v>850.9</v>
      </c>
    </row>
    <row r="1063" spans="1:24" x14ac:dyDescent="0.25">
      <c r="G1063" s="2" t="s">
        <v>1873</v>
      </c>
    </row>
    <row r="1064" spans="1:24" x14ac:dyDescent="0.25">
      <c r="A1064" s="2">
        <v>529</v>
      </c>
      <c r="B1064" s="2">
        <v>1308</v>
      </c>
      <c r="C1064" s="2" t="s">
        <v>1874</v>
      </c>
      <c r="D1064" s="2" t="s">
        <v>50</v>
      </c>
      <c r="E1064" s="2" t="s">
        <v>540</v>
      </c>
      <c r="F1064" s="2" t="s">
        <v>1875</v>
      </c>
      <c r="G1064" s="2">
        <v>820.6</v>
      </c>
      <c r="H1064" s="2">
        <v>0</v>
      </c>
      <c r="I1064" s="2">
        <v>0</v>
      </c>
      <c r="J1064" s="2">
        <v>0</v>
      </c>
      <c r="K1064" s="2">
        <v>0</v>
      </c>
      <c r="L1064" s="2">
        <v>0</v>
      </c>
      <c r="M1064" s="2">
        <v>30</v>
      </c>
      <c r="N1064" s="2">
        <v>0</v>
      </c>
      <c r="O1064" s="2">
        <v>0</v>
      </c>
      <c r="P1064" s="2">
        <v>0</v>
      </c>
      <c r="Q1064" s="2">
        <v>0</v>
      </c>
      <c r="R1064" s="2">
        <v>0</v>
      </c>
      <c r="S1064" s="2">
        <v>0</v>
      </c>
      <c r="T1064" s="2">
        <v>0</v>
      </c>
      <c r="U1064" s="2">
        <v>0</v>
      </c>
      <c r="W1064" s="2">
        <v>0</v>
      </c>
      <c r="X1064" s="2">
        <v>850.6</v>
      </c>
    </row>
    <row r="1065" spans="1:24" x14ac:dyDescent="0.25">
      <c r="G1065" s="2" t="s">
        <v>1876</v>
      </c>
    </row>
    <row r="1066" spans="1:24" x14ac:dyDescent="0.25">
      <c r="A1066" s="2">
        <v>530</v>
      </c>
      <c r="B1066" s="2">
        <v>2864</v>
      </c>
      <c r="C1066" s="2" t="s">
        <v>1877</v>
      </c>
      <c r="D1066" s="2" t="s">
        <v>248</v>
      </c>
      <c r="E1066" s="2" t="s">
        <v>346</v>
      </c>
      <c r="F1066" s="2" t="s">
        <v>1878</v>
      </c>
      <c r="G1066" s="2">
        <v>820.6</v>
      </c>
      <c r="H1066" s="2">
        <v>0</v>
      </c>
      <c r="I1066" s="2">
        <v>0</v>
      </c>
      <c r="J1066" s="2">
        <v>0</v>
      </c>
      <c r="K1066" s="2">
        <v>0</v>
      </c>
      <c r="L1066" s="2">
        <v>0</v>
      </c>
      <c r="M1066" s="2">
        <v>30</v>
      </c>
      <c r="N1066" s="2">
        <v>0</v>
      </c>
      <c r="O1066" s="2">
        <v>0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v>0</v>
      </c>
      <c r="W1066" s="2">
        <v>0</v>
      </c>
      <c r="X1066" s="2">
        <v>850.6</v>
      </c>
    </row>
    <row r="1067" spans="1:24" x14ac:dyDescent="0.25">
      <c r="G1067" s="2" t="s">
        <v>1879</v>
      </c>
    </row>
    <row r="1068" spans="1:24" x14ac:dyDescent="0.25">
      <c r="A1068" s="2">
        <v>531</v>
      </c>
      <c r="B1068" s="2">
        <v>1743</v>
      </c>
      <c r="C1068" s="2" t="s">
        <v>1880</v>
      </c>
      <c r="D1068" s="2" t="s">
        <v>821</v>
      </c>
      <c r="E1068" s="2" t="s">
        <v>298</v>
      </c>
      <c r="F1068" s="2" t="s">
        <v>1881</v>
      </c>
      <c r="G1068" s="2">
        <v>820.6</v>
      </c>
      <c r="H1068" s="2">
        <v>0</v>
      </c>
      <c r="I1068" s="2">
        <v>0</v>
      </c>
      <c r="J1068" s="2">
        <v>0</v>
      </c>
      <c r="K1068" s="2">
        <v>0</v>
      </c>
      <c r="L1068" s="2">
        <v>0</v>
      </c>
      <c r="M1068" s="2">
        <v>30</v>
      </c>
      <c r="N1068" s="2">
        <v>0</v>
      </c>
      <c r="O1068" s="2">
        <v>0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v>0</v>
      </c>
      <c r="W1068" s="2">
        <v>0</v>
      </c>
      <c r="X1068" s="2">
        <v>850.6</v>
      </c>
    </row>
    <row r="1069" spans="1:24" x14ac:dyDescent="0.25">
      <c r="G1069" s="2" t="s">
        <v>1882</v>
      </c>
    </row>
    <row r="1070" spans="1:24" x14ac:dyDescent="0.25">
      <c r="A1070" s="2">
        <v>532</v>
      </c>
      <c r="B1070" s="2">
        <v>4218</v>
      </c>
      <c r="C1070" s="2" t="s">
        <v>1883</v>
      </c>
      <c r="D1070" s="2" t="s">
        <v>338</v>
      </c>
      <c r="E1070" s="2" t="s">
        <v>334</v>
      </c>
      <c r="F1070" s="2" t="s">
        <v>1884</v>
      </c>
      <c r="G1070" s="2">
        <v>850.3</v>
      </c>
      <c r="H1070" s="2">
        <v>0</v>
      </c>
      <c r="I1070" s="2">
        <v>0</v>
      </c>
      <c r="J1070" s="2">
        <v>0</v>
      </c>
      <c r="K1070" s="2">
        <v>0</v>
      </c>
      <c r="L1070" s="2">
        <v>0</v>
      </c>
      <c r="M1070" s="2">
        <v>0</v>
      </c>
      <c r="N1070" s="2">
        <v>0</v>
      </c>
      <c r="O1070" s="2">
        <v>0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v>0</v>
      </c>
      <c r="W1070" s="2">
        <v>0</v>
      </c>
      <c r="X1070" s="2">
        <v>850.3</v>
      </c>
    </row>
    <row r="1071" spans="1:24" x14ac:dyDescent="0.25">
      <c r="G1071" s="2" t="s">
        <v>1885</v>
      </c>
    </row>
    <row r="1072" spans="1:24" x14ac:dyDescent="0.25">
      <c r="A1072" s="2">
        <v>533</v>
      </c>
      <c r="B1072" s="2">
        <v>5543</v>
      </c>
      <c r="C1072" s="2" t="s">
        <v>1886</v>
      </c>
      <c r="D1072" s="2" t="s">
        <v>1887</v>
      </c>
      <c r="E1072" s="2" t="s">
        <v>1888</v>
      </c>
      <c r="F1072" s="2" t="s">
        <v>1889</v>
      </c>
      <c r="G1072" s="2">
        <v>850.3</v>
      </c>
      <c r="H1072" s="2">
        <v>0</v>
      </c>
      <c r="I1072" s="2">
        <v>0</v>
      </c>
      <c r="J1072" s="2">
        <v>0</v>
      </c>
      <c r="K1072" s="2">
        <v>0</v>
      </c>
      <c r="L1072" s="2">
        <v>0</v>
      </c>
      <c r="M1072" s="2">
        <v>0</v>
      </c>
      <c r="N1072" s="2">
        <v>0</v>
      </c>
      <c r="O1072" s="2">
        <v>0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v>0</v>
      </c>
      <c r="W1072" s="2">
        <v>0</v>
      </c>
      <c r="X1072" s="2">
        <v>850.3</v>
      </c>
    </row>
    <row r="1073" spans="1:24" x14ac:dyDescent="0.25">
      <c r="G1073" s="2" t="s">
        <v>1890</v>
      </c>
    </row>
    <row r="1074" spans="1:24" x14ac:dyDescent="0.25">
      <c r="A1074" s="2">
        <v>534</v>
      </c>
      <c r="B1074" s="2">
        <v>11661</v>
      </c>
      <c r="C1074" s="2" t="s">
        <v>1891</v>
      </c>
      <c r="D1074" s="2" t="s">
        <v>365</v>
      </c>
      <c r="E1074" s="2" t="s">
        <v>39</v>
      </c>
      <c r="F1074" s="2" t="s">
        <v>1892</v>
      </c>
      <c r="G1074" s="2">
        <v>799.7</v>
      </c>
      <c r="H1074" s="2">
        <v>0</v>
      </c>
      <c r="I1074" s="2">
        <v>0</v>
      </c>
      <c r="J1074" s="2">
        <v>0</v>
      </c>
      <c r="K1074" s="2">
        <v>0</v>
      </c>
      <c r="L1074" s="2">
        <v>0</v>
      </c>
      <c r="M1074" s="2">
        <v>50</v>
      </c>
      <c r="N1074" s="2">
        <v>0</v>
      </c>
      <c r="O1074" s="2">
        <v>0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v>0</v>
      </c>
      <c r="W1074" s="2">
        <v>0</v>
      </c>
      <c r="X1074" s="2">
        <v>849.7</v>
      </c>
    </row>
    <row r="1075" spans="1:24" x14ac:dyDescent="0.25">
      <c r="G1075" s="2" t="s">
        <v>1893</v>
      </c>
    </row>
    <row r="1076" spans="1:24" x14ac:dyDescent="0.25">
      <c r="A1076" s="2">
        <v>535</v>
      </c>
      <c r="B1076" s="2">
        <v>17276</v>
      </c>
      <c r="C1076" s="2" t="s">
        <v>1262</v>
      </c>
      <c r="D1076" s="2" t="s">
        <v>289</v>
      </c>
      <c r="E1076" s="2" t="s">
        <v>1894</v>
      </c>
      <c r="F1076" s="2">
        <v>919639</v>
      </c>
      <c r="G1076" s="2">
        <v>799.7</v>
      </c>
      <c r="H1076" s="2">
        <v>0</v>
      </c>
      <c r="I1076" s="2">
        <v>0</v>
      </c>
      <c r="J1076" s="2">
        <v>0</v>
      </c>
      <c r="K1076" s="2">
        <v>0</v>
      </c>
      <c r="L1076" s="2">
        <v>0</v>
      </c>
      <c r="M1076" s="2">
        <v>50</v>
      </c>
      <c r="N1076" s="2">
        <v>0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v>0</v>
      </c>
      <c r="W1076" s="2">
        <v>0</v>
      </c>
      <c r="X1076" s="2">
        <v>849.7</v>
      </c>
    </row>
    <row r="1077" spans="1:24" x14ac:dyDescent="0.25">
      <c r="G1077" s="2" t="s">
        <v>1895</v>
      </c>
    </row>
    <row r="1078" spans="1:24" x14ac:dyDescent="0.25">
      <c r="A1078" s="2">
        <v>536</v>
      </c>
      <c r="B1078" s="2">
        <v>5358</v>
      </c>
      <c r="C1078" s="2" t="s">
        <v>1896</v>
      </c>
      <c r="D1078" s="2" t="s">
        <v>56</v>
      </c>
      <c r="E1078" s="2" t="s">
        <v>78</v>
      </c>
      <c r="F1078" s="2" t="s">
        <v>1897</v>
      </c>
      <c r="G1078" s="2">
        <v>819.5</v>
      </c>
      <c r="H1078" s="2">
        <v>0</v>
      </c>
      <c r="I1078" s="2">
        <v>0</v>
      </c>
      <c r="J1078" s="2">
        <v>0</v>
      </c>
      <c r="K1078" s="2">
        <v>0</v>
      </c>
      <c r="L1078" s="2">
        <v>0</v>
      </c>
      <c r="M1078" s="2">
        <v>30</v>
      </c>
      <c r="N1078" s="2">
        <v>0</v>
      </c>
      <c r="O1078" s="2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v>0</v>
      </c>
      <c r="W1078" s="2">
        <v>0</v>
      </c>
      <c r="X1078" s="2">
        <v>849.5</v>
      </c>
    </row>
    <row r="1079" spans="1:24" x14ac:dyDescent="0.25">
      <c r="G1079" s="2" t="s">
        <v>1898</v>
      </c>
    </row>
    <row r="1080" spans="1:24" x14ac:dyDescent="0.25">
      <c r="A1080" s="2">
        <v>537</v>
      </c>
      <c r="B1080" s="2">
        <v>2974</v>
      </c>
      <c r="C1080" s="2" t="s">
        <v>1899</v>
      </c>
      <c r="D1080" s="2" t="s">
        <v>39</v>
      </c>
      <c r="E1080" s="2" t="s">
        <v>1900</v>
      </c>
      <c r="F1080" s="2" t="s">
        <v>1901</v>
      </c>
      <c r="G1080" s="2">
        <v>778.8</v>
      </c>
      <c r="H1080" s="2">
        <v>0</v>
      </c>
      <c r="I1080" s="2">
        <v>0</v>
      </c>
      <c r="J1080" s="2">
        <v>0</v>
      </c>
      <c r="K1080" s="2">
        <v>0</v>
      </c>
      <c r="L1080" s="2">
        <v>0</v>
      </c>
      <c r="M1080" s="2">
        <v>70</v>
      </c>
      <c r="N1080" s="2">
        <v>0</v>
      </c>
      <c r="O1080" s="2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v>0</v>
      </c>
      <c r="W1080" s="2">
        <v>0</v>
      </c>
      <c r="X1080" s="2">
        <v>848.8</v>
      </c>
    </row>
    <row r="1081" spans="1:24" x14ac:dyDescent="0.25">
      <c r="G1081" s="2" t="s">
        <v>1902</v>
      </c>
    </row>
    <row r="1082" spans="1:24" x14ac:dyDescent="0.25">
      <c r="A1082" s="2">
        <v>538</v>
      </c>
      <c r="B1082" s="2">
        <v>12653</v>
      </c>
      <c r="C1082" s="2" t="s">
        <v>1904</v>
      </c>
      <c r="D1082" s="2" t="s">
        <v>365</v>
      </c>
      <c r="E1082" s="2" t="s">
        <v>90</v>
      </c>
      <c r="F1082" s="2" t="s">
        <v>1905</v>
      </c>
      <c r="G1082" s="2">
        <v>818.4</v>
      </c>
      <c r="H1082" s="2">
        <v>0</v>
      </c>
      <c r="I1082" s="2">
        <v>0</v>
      </c>
      <c r="J1082" s="2">
        <v>0</v>
      </c>
      <c r="K1082" s="2">
        <v>0</v>
      </c>
      <c r="L1082" s="2">
        <v>0</v>
      </c>
      <c r="M1082" s="2">
        <v>30</v>
      </c>
      <c r="N1082" s="2">
        <v>0</v>
      </c>
      <c r="O1082" s="2">
        <v>0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v>0</v>
      </c>
      <c r="W1082" s="2">
        <v>2</v>
      </c>
      <c r="X1082" s="2">
        <v>848.4</v>
      </c>
    </row>
    <row r="1083" spans="1:24" x14ac:dyDescent="0.25">
      <c r="G1083" s="2" t="s">
        <v>1906</v>
      </c>
    </row>
    <row r="1084" spans="1:24" x14ac:dyDescent="0.25">
      <c r="A1084" s="2">
        <v>539</v>
      </c>
      <c r="B1084" s="2">
        <v>1362</v>
      </c>
      <c r="C1084" s="2" t="s">
        <v>1907</v>
      </c>
      <c r="D1084" s="2" t="s">
        <v>422</v>
      </c>
      <c r="E1084" s="2" t="s">
        <v>16</v>
      </c>
      <c r="F1084" s="2" t="s">
        <v>1908</v>
      </c>
      <c r="G1084" s="2">
        <v>818.4</v>
      </c>
      <c r="H1084" s="2">
        <v>0</v>
      </c>
      <c r="I1084" s="2">
        <v>0</v>
      </c>
      <c r="J1084" s="2">
        <v>0</v>
      </c>
      <c r="K1084" s="2">
        <v>0</v>
      </c>
      <c r="L1084" s="2">
        <v>0</v>
      </c>
      <c r="M1084" s="2">
        <v>30</v>
      </c>
      <c r="N1084" s="2">
        <v>0</v>
      </c>
      <c r="O1084" s="2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v>0</v>
      </c>
      <c r="W1084" s="2">
        <v>0</v>
      </c>
      <c r="X1084" s="2">
        <v>848.4</v>
      </c>
    </row>
    <row r="1085" spans="1:24" x14ac:dyDescent="0.25">
      <c r="G1085" s="2" t="s">
        <v>1909</v>
      </c>
    </row>
    <row r="1086" spans="1:24" x14ac:dyDescent="0.25">
      <c r="A1086" s="2">
        <v>540</v>
      </c>
      <c r="B1086" s="2">
        <v>3113</v>
      </c>
      <c r="C1086" s="2" t="s">
        <v>1910</v>
      </c>
      <c r="D1086" s="2" t="s">
        <v>327</v>
      </c>
      <c r="E1086" s="2" t="s">
        <v>346</v>
      </c>
      <c r="F1086" s="2" t="s">
        <v>1911</v>
      </c>
      <c r="G1086" s="2">
        <v>818.4</v>
      </c>
      <c r="H1086" s="2">
        <v>0</v>
      </c>
      <c r="I1086" s="2">
        <v>0</v>
      </c>
      <c r="J1086" s="2">
        <v>0</v>
      </c>
      <c r="K1086" s="2">
        <v>0</v>
      </c>
      <c r="L1086" s="2">
        <v>0</v>
      </c>
      <c r="M1086" s="2">
        <v>30</v>
      </c>
      <c r="N1086" s="2">
        <v>0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v>0</v>
      </c>
      <c r="W1086" s="2">
        <v>0</v>
      </c>
      <c r="X1086" s="2">
        <v>848.4</v>
      </c>
    </row>
    <row r="1087" spans="1:24" x14ac:dyDescent="0.25">
      <c r="G1087" s="2" t="s">
        <v>1912</v>
      </c>
    </row>
    <row r="1088" spans="1:24" x14ac:dyDescent="0.25">
      <c r="A1088" s="2">
        <v>541</v>
      </c>
      <c r="B1088" s="2">
        <v>9557</v>
      </c>
      <c r="C1088" s="2" t="s">
        <v>1913</v>
      </c>
      <c r="D1088" s="2" t="s">
        <v>56</v>
      </c>
      <c r="E1088" s="2" t="s">
        <v>73</v>
      </c>
      <c r="F1088" s="2" t="s">
        <v>1914</v>
      </c>
      <c r="G1088" s="2">
        <v>818.4</v>
      </c>
      <c r="H1088" s="2">
        <v>0</v>
      </c>
      <c r="I1088" s="2">
        <v>0</v>
      </c>
      <c r="J1088" s="2">
        <v>0</v>
      </c>
      <c r="K1088" s="2">
        <v>0</v>
      </c>
      <c r="L1088" s="2">
        <v>0</v>
      </c>
      <c r="M1088" s="2">
        <v>30</v>
      </c>
      <c r="N1088" s="2">
        <v>0</v>
      </c>
      <c r="O1088" s="2">
        <v>0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v>0</v>
      </c>
      <c r="W1088" s="2">
        <v>0</v>
      </c>
      <c r="X1088" s="2">
        <v>848.4</v>
      </c>
    </row>
    <row r="1089" spans="1:24" x14ac:dyDescent="0.25">
      <c r="G1089" s="2" t="s">
        <v>1915</v>
      </c>
    </row>
    <row r="1090" spans="1:24" x14ac:dyDescent="0.25">
      <c r="A1090" s="2">
        <v>542</v>
      </c>
      <c r="B1090" s="2">
        <v>11436</v>
      </c>
      <c r="C1090" s="2" t="s">
        <v>1916</v>
      </c>
      <c r="D1090" s="2" t="s">
        <v>1917</v>
      </c>
      <c r="E1090" s="2" t="s">
        <v>39</v>
      </c>
      <c r="F1090" s="2" t="s">
        <v>1918</v>
      </c>
      <c r="G1090" s="2">
        <v>818.4</v>
      </c>
      <c r="H1090" s="2">
        <v>0</v>
      </c>
      <c r="I1090" s="2">
        <v>0</v>
      </c>
      <c r="J1090" s="2">
        <v>0</v>
      </c>
      <c r="K1090" s="2">
        <v>0</v>
      </c>
      <c r="L1090" s="2">
        <v>0</v>
      </c>
      <c r="M1090" s="2">
        <v>30</v>
      </c>
      <c r="N1090" s="2">
        <v>0</v>
      </c>
      <c r="O1090" s="2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v>0</v>
      </c>
      <c r="W1090" s="2">
        <v>0</v>
      </c>
      <c r="X1090" s="2">
        <v>848.4</v>
      </c>
    </row>
    <row r="1091" spans="1:24" x14ac:dyDescent="0.25">
      <c r="G1091" s="2" t="s">
        <v>1919</v>
      </c>
    </row>
    <row r="1092" spans="1:24" x14ac:dyDescent="0.25">
      <c r="A1092" s="2">
        <v>543</v>
      </c>
      <c r="B1092" s="2">
        <v>16714</v>
      </c>
      <c r="C1092" s="2" t="s">
        <v>1920</v>
      </c>
      <c r="D1092" s="2" t="s">
        <v>1588</v>
      </c>
      <c r="E1092" s="2" t="s">
        <v>240</v>
      </c>
      <c r="F1092" s="2" t="s">
        <v>1921</v>
      </c>
      <c r="G1092" s="2">
        <v>818.4</v>
      </c>
      <c r="H1092" s="2">
        <v>0</v>
      </c>
      <c r="I1092" s="2">
        <v>0</v>
      </c>
      <c r="J1092" s="2">
        <v>0</v>
      </c>
      <c r="K1092" s="2">
        <v>0</v>
      </c>
      <c r="L1092" s="2">
        <v>0</v>
      </c>
      <c r="M1092" s="2">
        <v>30</v>
      </c>
      <c r="N1092" s="2">
        <v>0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v>0</v>
      </c>
      <c r="W1092" s="2">
        <v>0</v>
      </c>
      <c r="X1092" s="2">
        <v>848.4</v>
      </c>
    </row>
    <row r="1093" spans="1:24" x14ac:dyDescent="0.25">
      <c r="G1093" s="2" t="s">
        <v>1922</v>
      </c>
    </row>
    <row r="1094" spans="1:24" x14ac:dyDescent="0.25">
      <c r="A1094" s="2">
        <v>544</v>
      </c>
      <c r="B1094" s="2">
        <v>10646</v>
      </c>
      <c r="C1094" s="2" t="s">
        <v>1923</v>
      </c>
      <c r="D1094" s="2" t="s">
        <v>415</v>
      </c>
      <c r="E1094" s="2" t="s">
        <v>1677</v>
      </c>
      <c r="F1094" s="2" t="s">
        <v>1924</v>
      </c>
      <c r="G1094" s="2">
        <v>848.1</v>
      </c>
      <c r="H1094" s="2">
        <v>0</v>
      </c>
      <c r="I1094" s="2">
        <v>0</v>
      </c>
      <c r="J1094" s="2">
        <v>0</v>
      </c>
      <c r="K1094" s="2">
        <v>0</v>
      </c>
      <c r="L1094" s="2">
        <v>0</v>
      </c>
      <c r="M1094" s="2">
        <v>0</v>
      </c>
      <c r="N1094" s="2">
        <v>0</v>
      </c>
      <c r="O1094" s="2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v>0</v>
      </c>
      <c r="W1094" s="2">
        <v>0</v>
      </c>
      <c r="X1094" s="2">
        <v>848.1</v>
      </c>
    </row>
    <row r="1095" spans="1:24" x14ac:dyDescent="0.25">
      <c r="G1095" s="2" t="s">
        <v>1925</v>
      </c>
    </row>
    <row r="1096" spans="1:24" x14ac:dyDescent="0.25">
      <c r="A1096" s="2">
        <v>545</v>
      </c>
      <c r="B1096" s="2">
        <v>13253</v>
      </c>
      <c r="C1096" s="2" t="s">
        <v>1926</v>
      </c>
      <c r="D1096" s="2" t="s">
        <v>89</v>
      </c>
      <c r="E1096" s="2" t="s">
        <v>39</v>
      </c>
      <c r="F1096" s="2" t="s">
        <v>1927</v>
      </c>
      <c r="G1096" s="2">
        <v>848.1</v>
      </c>
      <c r="H1096" s="2">
        <v>0</v>
      </c>
      <c r="I1096" s="2">
        <v>0</v>
      </c>
      <c r="J1096" s="2">
        <v>0</v>
      </c>
      <c r="K1096" s="2">
        <v>0</v>
      </c>
      <c r="L1096" s="2">
        <v>0</v>
      </c>
      <c r="M1096" s="2">
        <v>0</v>
      </c>
      <c r="N1096" s="2">
        <v>0</v>
      </c>
      <c r="O1096" s="2">
        <v>0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v>0</v>
      </c>
      <c r="W1096" s="2">
        <v>0</v>
      </c>
      <c r="X1096" s="2">
        <v>848.1</v>
      </c>
    </row>
    <row r="1097" spans="1:24" x14ac:dyDescent="0.25">
      <c r="G1097" s="2" t="s">
        <v>1928</v>
      </c>
    </row>
    <row r="1098" spans="1:24" x14ac:dyDescent="0.25">
      <c r="A1098" s="2">
        <v>546</v>
      </c>
      <c r="B1098" s="2">
        <v>7334</v>
      </c>
      <c r="C1098" s="2" t="s">
        <v>1929</v>
      </c>
      <c r="D1098" s="2" t="s">
        <v>1930</v>
      </c>
      <c r="E1098" s="2" t="s">
        <v>127</v>
      </c>
      <c r="F1098" s="2" t="s">
        <v>1931</v>
      </c>
      <c r="G1098" s="2">
        <v>817.3</v>
      </c>
      <c r="H1098" s="2">
        <v>0</v>
      </c>
      <c r="I1098" s="2">
        <v>0</v>
      </c>
      <c r="J1098" s="2">
        <v>0</v>
      </c>
      <c r="K1098" s="2">
        <v>0</v>
      </c>
      <c r="L1098" s="2">
        <v>0</v>
      </c>
      <c r="M1098" s="2">
        <v>30</v>
      </c>
      <c r="N1098" s="2">
        <v>0</v>
      </c>
      <c r="O1098" s="2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v>0</v>
      </c>
      <c r="W1098" s="2">
        <v>0</v>
      </c>
      <c r="X1098" s="2">
        <v>847.3</v>
      </c>
    </row>
    <row r="1099" spans="1:24" x14ac:dyDescent="0.25">
      <c r="G1099" s="2" t="s">
        <v>1932</v>
      </c>
    </row>
    <row r="1100" spans="1:24" x14ac:dyDescent="0.25">
      <c r="A1100" s="2">
        <v>547</v>
      </c>
      <c r="B1100" s="2">
        <v>11690</v>
      </c>
      <c r="C1100" s="2" t="s">
        <v>939</v>
      </c>
      <c r="D1100" s="2" t="s">
        <v>1851</v>
      </c>
      <c r="E1100" s="2" t="s">
        <v>342</v>
      </c>
      <c r="F1100" s="2" t="s">
        <v>1933</v>
      </c>
      <c r="G1100" s="2">
        <v>817.3</v>
      </c>
      <c r="H1100" s="2">
        <v>0</v>
      </c>
      <c r="I1100" s="2">
        <v>0</v>
      </c>
      <c r="J1100" s="2">
        <v>0</v>
      </c>
      <c r="K1100" s="2">
        <v>0</v>
      </c>
      <c r="L1100" s="2">
        <v>0</v>
      </c>
      <c r="M1100" s="2">
        <v>30</v>
      </c>
      <c r="N1100" s="2">
        <v>0</v>
      </c>
      <c r="O1100" s="2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v>0</v>
      </c>
      <c r="W1100" s="2">
        <v>0</v>
      </c>
      <c r="X1100" s="2">
        <v>847.3</v>
      </c>
    </row>
    <row r="1101" spans="1:24" x14ac:dyDescent="0.25">
      <c r="G1101" s="2" t="s">
        <v>1934</v>
      </c>
    </row>
    <row r="1102" spans="1:24" x14ac:dyDescent="0.25">
      <c r="A1102" s="2">
        <v>548</v>
      </c>
      <c r="B1102" s="2">
        <v>13158</v>
      </c>
      <c r="C1102" s="2" t="s">
        <v>1935</v>
      </c>
      <c r="D1102" s="2" t="s">
        <v>1936</v>
      </c>
      <c r="E1102" s="2" t="s">
        <v>144</v>
      </c>
      <c r="F1102" s="2" t="s">
        <v>1937</v>
      </c>
      <c r="G1102" s="2">
        <v>847</v>
      </c>
      <c r="H1102" s="2">
        <v>0</v>
      </c>
      <c r="I1102" s="2">
        <v>0</v>
      </c>
      <c r="J1102" s="2">
        <v>0</v>
      </c>
      <c r="K1102" s="2">
        <v>0</v>
      </c>
      <c r="L1102" s="2">
        <v>0</v>
      </c>
      <c r="M1102" s="2">
        <v>0</v>
      </c>
      <c r="N1102" s="2">
        <v>0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v>0</v>
      </c>
      <c r="W1102" s="2">
        <v>0</v>
      </c>
      <c r="X1102" s="2">
        <v>847</v>
      </c>
    </row>
    <row r="1103" spans="1:24" x14ac:dyDescent="0.25">
      <c r="G1103" s="2" t="s">
        <v>1938</v>
      </c>
    </row>
    <row r="1104" spans="1:24" x14ac:dyDescent="0.25">
      <c r="A1104" s="2">
        <v>549</v>
      </c>
      <c r="B1104" s="2">
        <v>202</v>
      </c>
      <c r="C1104" s="2" t="s">
        <v>1939</v>
      </c>
      <c r="D1104" s="2" t="s">
        <v>1940</v>
      </c>
      <c r="E1104" s="2" t="s">
        <v>597</v>
      </c>
      <c r="F1104" s="2" t="s">
        <v>1941</v>
      </c>
      <c r="G1104" s="2">
        <v>847</v>
      </c>
      <c r="H1104" s="2">
        <v>0</v>
      </c>
      <c r="I1104" s="2">
        <v>0</v>
      </c>
      <c r="J1104" s="2">
        <v>0</v>
      </c>
      <c r="K1104" s="2">
        <v>0</v>
      </c>
      <c r="L1104" s="2">
        <v>0</v>
      </c>
      <c r="M1104" s="2">
        <v>0</v>
      </c>
      <c r="N1104" s="2">
        <v>0</v>
      </c>
      <c r="O1104" s="2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v>0</v>
      </c>
      <c r="W1104" s="2">
        <v>0</v>
      </c>
      <c r="X1104" s="2">
        <v>847</v>
      </c>
    </row>
    <row r="1105" spans="1:24" x14ac:dyDescent="0.25">
      <c r="G1105" s="2" t="s">
        <v>1942</v>
      </c>
    </row>
    <row r="1106" spans="1:24" x14ac:dyDescent="0.25">
      <c r="A1106" s="2">
        <v>550</v>
      </c>
      <c r="B1106" s="2">
        <v>12364</v>
      </c>
      <c r="C1106" s="2" t="s">
        <v>1167</v>
      </c>
      <c r="D1106" s="2" t="s">
        <v>1943</v>
      </c>
      <c r="E1106" s="2" t="s">
        <v>194</v>
      </c>
      <c r="F1106" s="2" t="s">
        <v>1944</v>
      </c>
      <c r="G1106" s="2">
        <v>816.2</v>
      </c>
      <c r="H1106" s="2">
        <v>0</v>
      </c>
      <c r="I1106" s="2">
        <v>0</v>
      </c>
      <c r="J1106" s="2">
        <v>0</v>
      </c>
      <c r="K1106" s="2">
        <v>0</v>
      </c>
      <c r="L1106" s="2">
        <v>0</v>
      </c>
      <c r="M1106" s="2">
        <v>30</v>
      </c>
      <c r="N1106" s="2">
        <v>0</v>
      </c>
      <c r="O1106" s="2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v>0</v>
      </c>
      <c r="W1106" s="2">
        <v>0</v>
      </c>
      <c r="X1106" s="2">
        <v>846.2</v>
      </c>
    </row>
    <row r="1107" spans="1:24" x14ac:dyDescent="0.25">
      <c r="G1107" s="2" t="s">
        <v>1945</v>
      </c>
    </row>
    <row r="1108" spans="1:24" x14ac:dyDescent="0.25">
      <c r="A1108" s="2">
        <v>551</v>
      </c>
      <c r="B1108" s="2">
        <v>13453</v>
      </c>
      <c r="C1108" s="2" t="s">
        <v>1946</v>
      </c>
      <c r="D1108" s="2" t="s">
        <v>1947</v>
      </c>
      <c r="E1108" s="2" t="s">
        <v>204</v>
      </c>
      <c r="F1108" s="2" t="s">
        <v>1948</v>
      </c>
      <c r="G1108" s="2">
        <v>816.2</v>
      </c>
      <c r="H1108" s="2">
        <v>0</v>
      </c>
      <c r="I1108" s="2">
        <v>0</v>
      </c>
      <c r="J1108" s="2">
        <v>0</v>
      </c>
      <c r="K1108" s="2">
        <v>0</v>
      </c>
      <c r="L1108" s="2">
        <v>0</v>
      </c>
      <c r="M1108" s="2">
        <v>30</v>
      </c>
      <c r="N1108" s="2">
        <v>0</v>
      </c>
      <c r="O1108" s="2">
        <v>0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v>0</v>
      </c>
      <c r="W1108" s="2">
        <v>0</v>
      </c>
      <c r="X1108" s="2">
        <v>846.2</v>
      </c>
    </row>
    <row r="1109" spans="1:24" x14ac:dyDescent="0.25">
      <c r="G1109" s="2" t="s">
        <v>1949</v>
      </c>
    </row>
    <row r="1110" spans="1:24" x14ac:dyDescent="0.25">
      <c r="A1110" s="2">
        <v>552</v>
      </c>
      <c r="B1110" s="2">
        <v>7371</v>
      </c>
      <c r="C1110" s="2" t="s">
        <v>1950</v>
      </c>
      <c r="D1110" s="2" t="s">
        <v>264</v>
      </c>
      <c r="E1110" s="2" t="s">
        <v>16</v>
      </c>
      <c r="F1110" s="2" t="s">
        <v>1951</v>
      </c>
      <c r="G1110" s="2">
        <v>845.9</v>
      </c>
      <c r="H1110" s="2">
        <v>0</v>
      </c>
      <c r="I1110" s="2">
        <v>0</v>
      </c>
      <c r="J1110" s="2">
        <v>0</v>
      </c>
      <c r="K1110" s="2">
        <v>0</v>
      </c>
      <c r="L1110" s="2">
        <v>0</v>
      </c>
      <c r="M1110" s="2">
        <v>0</v>
      </c>
      <c r="N1110" s="2">
        <v>0</v>
      </c>
      <c r="O1110" s="2">
        <v>0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v>0</v>
      </c>
      <c r="W1110" s="2">
        <v>0</v>
      </c>
      <c r="X1110" s="2">
        <v>845.9</v>
      </c>
    </row>
    <row r="1111" spans="1:24" x14ac:dyDescent="0.25">
      <c r="G1111" s="2" t="s">
        <v>1952</v>
      </c>
    </row>
    <row r="1112" spans="1:24" x14ac:dyDescent="0.25">
      <c r="A1112" s="2">
        <v>553</v>
      </c>
      <c r="B1112" s="2">
        <v>15706</v>
      </c>
      <c r="C1112" s="2" t="s">
        <v>1953</v>
      </c>
      <c r="D1112" s="2" t="s">
        <v>1954</v>
      </c>
      <c r="E1112" s="2" t="s">
        <v>39</v>
      </c>
      <c r="F1112" s="2" t="s">
        <v>1955</v>
      </c>
      <c r="G1112" s="2">
        <v>845.9</v>
      </c>
      <c r="H1112" s="2">
        <v>0</v>
      </c>
      <c r="I1112" s="2">
        <v>0</v>
      </c>
      <c r="J1112" s="2">
        <v>0</v>
      </c>
      <c r="K1112" s="2">
        <v>0</v>
      </c>
      <c r="L1112" s="2">
        <v>0</v>
      </c>
      <c r="M1112" s="2">
        <v>0</v>
      </c>
      <c r="N1112" s="2">
        <v>0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v>0</v>
      </c>
      <c r="W1112" s="2">
        <v>0</v>
      </c>
      <c r="X1112" s="2">
        <v>845.9</v>
      </c>
    </row>
    <row r="1113" spans="1:24" x14ac:dyDescent="0.25">
      <c r="G1113" s="2" t="s">
        <v>1956</v>
      </c>
    </row>
    <row r="1114" spans="1:24" x14ac:dyDescent="0.25">
      <c r="A1114" s="2">
        <v>554</v>
      </c>
      <c r="B1114" s="2">
        <v>13321</v>
      </c>
      <c r="C1114" s="2" t="s">
        <v>1957</v>
      </c>
      <c r="D1114" s="2" t="s">
        <v>182</v>
      </c>
      <c r="E1114" s="2" t="s">
        <v>73</v>
      </c>
      <c r="F1114" s="2" t="s">
        <v>1958</v>
      </c>
      <c r="G1114" s="2">
        <v>775.5</v>
      </c>
      <c r="H1114" s="2">
        <v>0</v>
      </c>
      <c r="I1114" s="2">
        <v>0</v>
      </c>
      <c r="J1114" s="2">
        <v>0</v>
      </c>
      <c r="K1114" s="2">
        <v>0</v>
      </c>
      <c r="L1114" s="2">
        <v>0</v>
      </c>
      <c r="M1114" s="2">
        <v>70</v>
      </c>
      <c r="N1114" s="2">
        <v>0</v>
      </c>
      <c r="O1114" s="2">
        <v>0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v>0</v>
      </c>
      <c r="W1114" s="2">
        <v>0</v>
      </c>
      <c r="X1114" s="2">
        <v>845.5</v>
      </c>
    </row>
    <row r="1115" spans="1:24" x14ac:dyDescent="0.25">
      <c r="G1115" s="2" t="s">
        <v>1959</v>
      </c>
    </row>
    <row r="1116" spans="1:24" x14ac:dyDescent="0.25">
      <c r="A1116" s="2">
        <v>555</v>
      </c>
      <c r="B1116" s="2">
        <v>7491</v>
      </c>
      <c r="C1116" s="2" t="s">
        <v>1960</v>
      </c>
      <c r="D1116" s="2" t="s">
        <v>182</v>
      </c>
      <c r="E1116" s="2" t="s">
        <v>73</v>
      </c>
      <c r="F1116" s="2" t="s">
        <v>1961</v>
      </c>
      <c r="G1116" s="2">
        <v>795.3</v>
      </c>
      <c r="H1116" s="2">
        <v>0</v>
      </c>
      <c r="I1116" s="2">
        <v>0</v>
      </c>
      <c r="J1116" s="2">
        <v>0</v>
      </c>
      <c r="K1116" s="2">
        <v>0</v>
      </c>
      <c r="L1116" s="2">
        <v>0</v>
      </c>
      <c r="M1116" s="2">
        <v>50</v>
      </c>
      <c r="N1116" s="2">
        <v>0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v>0</v>
      </c>
      <c r="W1116" s="2">
        <v>0</v>
      </c>
      <c r="X1116" s="2">
        <v>845.3</v>
      </c>
    </row>
    <row r="1117" spans="1:24" x14ac:dyDescent="0.25">
      <c r="G1117" s="2" t="s">
        <v>1962</v>
      </c>
    </row>
    <row r="1118" spans="1:24" x14ac:dyDescent="0.25">
      <c r="A1118" s="2">
        <v>556</v>
      </c>
      <c r="B1118" s="2">
        <v>15185</v>
      </c>
      <c r="C1118" s="2" t="s">
        <v>1963</v>
      </c>
      <c r="D1118" s="2" t="s">
        <v>67</v>
      </c>
      <c r="E1118" s="2" t="s">
        <v>808</v>
      </c>
      <c r="F1118" s="2" t="s">
        <v>1964</v>
      </c>
      <c r="G1118" s="2">
        <v>815.1</v>
      </c>
      <c r="H1118" s="2">
        <v>0</v>
      </c>
      <c r="I1118" s="2">
        <v>0</v>
      </c>
      <c r="J1118" s="2">
        <v>0</v>
      </c>
      <c r="K1118" s="2">
        <v>0</v>
      </c>
      <c r="L1118" s="2">
        <v>0</v>
      </c>
      <c r="M1118" s="2">
        <v>30</v>
      </c>
      <c r="N1118" s="2">
        <v>0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v>0</v>
      </c>
      <c r="W1118" s="2">
        <v>0</v>
      </c>
      <c r="X1118" s="2">
        <v>845.1</v>
      </c>
    </row>
    <row r="1119" spans="1:24" x14ac:dyDescent="0.25">
      <c r="G1119" s="2" t="s">
        <v>1965</v>
      </c>
    </row>
    <row r="1120" spans="1:24" x14ac:dyDescent="0.25">
      <c r="A1120" s="2">
        <v>557</v>
      </c>
      <c r="B1120" s="2">
        <v>6077</v>
      </c>
      <c r="C1120" s="2" t="s">
        <v>1966</v>
      </c>
      <c r="D1120" s="2" t="s">
        <v>89</v>
      </c>
      <c r="E1120" s="2" t="s">
        <v>73</v>
      </c>
      <c r="F1120" s="2" t="s">
        <v>1967</v>
      </c>
      <c r="G1120" s="2">
        <v>815.1</v>
      </c>
      <c r="H1120" s="2">
        <v>0</v>
      </c>
      <c r="I1120" s="2">
        <v>0</v>
      </c>
      <c r="J1120" s="2">
        <v>0</v>
      </c>
      <c r="K1120" s="2">
        <v>0</v>
      </c>
      <c r="L1120" s="2">
        <v>0</v>
      </c>
      <c r="M1120" s="2">
        <v>30</v>
      </c>
      <c r="N1120" s="2">
        <v>0</v>
      </c>
      <c r="O1120" s="2">
        <v>0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v>0</v>
      </c>
      <c r="W1120" s="2">
        <v>0</v>
      </c>
      <c r="X1120" s="2">
        <v>845.1</v>
      </c>
    </row>
    <row r="1121" spans="1:24" x14ac:dyDescent="0.25">
      <c r="G1121" s="2" t="s">
        <v>1968</v>
      </c>
    </row>
    <row r="1122" spans="1:24" x14ac:dyDescent="0.25">
      <c r="A1122" s="2">
        <v>558</v>
      </c>
      <c r="B1122" s="2">
        <v>5767</v>
      </c>
      <c r="C1122" s="2" t="s">
        <v>1969</v>
      </c>
      <c r="D1122" s="2" t="s">
        <v>338</v>
      </c>
      <c r="E1122" s="2" t="s">
        <v>90</v>
      </c>
      <c r="F1122" s="2" t="s">
        <v>1970</v>
      </c>
      <c r="G1122" s="2">
        <v>815.1</v>
      </c>
      <c r="H1122" s="2">
        <v>0</v>
      </c>
      <c r="I1122" s="2">
        <v>0</v>
      </c>
      <c r="J1122" s="2">
        <v>0</v>
      </c>
      <c r="K1122" s="2">
        <v>0</v>
      </c>
      <c r="L1122" s="2">
        <v>0</v>
      </c>
      <c r="M1122" s="2">
        <v>30</v>
      </c>
      <c r="N1122" s="2">
        <v>0</v>
      </c>
      <c r="O1122" s="2">
        <v>0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v>0</v>
      </c>
      <c r="W1122" s="2">
        <v>0</v>
      </c>
      <c r="X1122" s="2">
        <v>845.1</v>
      </c>
    </row>
    <row r="1123" spans="1:24" x14ac:dyDescent="0.25">
      <c r="G1123" s="2" t="s">
        <v>1971</v>
      </c>
    </row>
    <row r="1124" spans="1:24" x14ac:dyDescent="0.25">
      <c r="A1124" s="2">
        <v>559</v>
      </c>
      <c r="B1124" s="2">
        <v>6472</v>
      </c>
      <c r="C1124" s="2" t="s">
        <v>1972</v>
      </c>
      <c r="D1124" s="2" t="s">
        <v>193</v>
      </c>
      <c r="E1124" s="2" t="s">
        <v>51</v>
      </c>
      <c r="F1124" s="2" t="s">
        <v>1973</v>
      </c>
      <c r="G1124" s="2">
        <v>774.4</v>
      </c>
      <c r="H1124" s="2">
        <v>0</v>
      </c>
      <c r="I1124" s="2">
        <v>0</v>
      </c>
      <c r="J1124" s="2">
        <v>0</v>
      </c>
      <c r="K1124" s="2">
        <v>0</v>
      </c>
      <c r="L1124" s="2">
        <v>0</v>
      </c>
      <c r="M1124" s="2">
        <v>70</v>
      </c>
      <c r="N1124" s="2">
        <v>0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v>0</v>
      </c>
      <c r="W1124" s="2">
        <v>0</v>
      </c>
      <c r="X1124" s="2">
        <v>844.4</v>
      </c>
    </row>
    <row r="1125" spans="1:24" x14ac:dyDescent="0.25">
      <c r="G1125" s="2" t="s">
        <v>1974</v>
      </c>
    </row>
    <row r="1126" spans="1:24" x14ac:dyDescent="0.25">
      <c r="A1126" s="2">
        <v>560</v>
      </c>
      <c r="B1126" s="2">
        <v>14227</v>
      </c>
      <c r="C1126" s="2" t="s">
        <v>1036</v>
      </c>
      <c r="D1126" s="2" t="s">
        <v>164</v>
      </c>
      <c r="E1126" s="2" t="s">
        <v>194</v>
      </c>
      <c r="F1126" s="2" t="s">
        <v>1975</v>
      </c>
      <c r="G1126" s="2">
        <v>794.2</v>
      </c>
      <c r="H1126" s="2">
        <v>0</v>
      </c>
      <c r="I1126" s="2">
        <v>0</v>
      </c>
      <c r="J1126" s="2">
        <v>0</v>
      </c>
      <c r="K1126" s="2">
        <v>0</v>
      </c>
      <c r="L1126" s="2">
        <v>0</v>
      </c>
      <c r="M1126" s="2">
        <v>50</v>
      </c>
      <c r="N1126" s="2">
        <v>0</v>
      </c>
      <c r="O1126" s="2">
        <v>0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v>0</v>
      </c>
      <c r="W1126" s="2">
        <v>0</v>
      </c>
      <c r="X1126" s="2">
        <v>844.2</v>
      </c>
    </row>
    <row r="1127" spans="1:24" x14ac:dyDescent="0.25">
      <c r="G1127" s="2" t="s">
        <v>1976</v>
      </c>
    </row>
    <row r="1128" spans="1:24" x14ac:dyDescent="0.25">
      <c r="A1128" s="2">
        <v>561</v>
      </c>
      <c r="B1128" s="2">
        <v>2296</v>
      </c>
      <c r="C1128" s="2" t="s">
        <v>1977</v>
      </c>
      <c r="D1128" s="2" t="s">
        <v>112</v>
      </c>
      <c r="E1128" s="2" t="s">
        <v>204</v>
      </c>
      <c r="F1128" s="2" t="s">
        <v>1978</v>
      </c>
      <c r="G1128" s="2">
        <v>814</v>
      </c>
      <c r="H1128" s="2">
        <v>0</v>
      </c>
      <c r="I1128" s="2">
        <v>0</v>
      </c>
      <c r="J1128" s="2">
        <v>0</v>
      </c>
      <c r="K1128" s="2">
        <v>0</v>
      </c>
      <c r="L1128" s="2">
        <v>0</v>
      </c>
      <c r="M1128" s="2">
        <v>30</v>
      </c>
      <c r="N1128" s="2">
        <v>0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v>0</v>
      </c>
      <c r="W1128" s="2">
        <v>0</v>
      </c>
      <c r="X1128" s="2">
        <v>844</v>
      </c>
    </row>
    <row r="1129" spans="1:24" x14ac:dyDescent="0.25">
      <c r="G1129" s="2" t="s">
        <v>1979</v>
      </c>
    </row>
    <row r="1130" spans="1:24" x14ac:dyDescent="0.25">
      <c r="A1130" s="2">
        <v>562</v>
      </c>
      <c r="B1130" s="2">
        <v>8016</v>
      </c>
      <c r="C1130" s="2" t="s">
        <v>1980</v>
      </c>
      <c r="D1130" s="2" t="s">
        <v>51</v>
      </c>
      <c r="E1130" s="2" t="s">
        <v>1981</v>
      </c>
      <c r="F1130" s="2" t="s">
        <v>1982</v>
      </c>
      <c r="G1130" s="2">
        <v>814</v>
      </c>
      <c r="H1130" s="2">
        <v>0</v>
      </c>
      <c r="I1130" s="2">
        <v>0</v>
      </c>
      <c r="J1130" s="2">
        <v>0</v>
      </c>
      <c r="K1130" s="2">
        <v>0</v>
      </c>
      <c r="L1130" s="2">
        <v>0</v>
      </c>
      <c r="M1130" s="2">
        <v>30</v>
      </c>
      <c r="N1130" s="2">
        <v>0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v>0</v>
      </c>
      <c r="W1130" s="2">
        <v>0</v>
      </c>
      <c r="X1130" s="2">
        <v>844</v>
      </c>
    </row>
    <row r="1131" spans="1:24" x14ac:dyDescent="0.25">
      <c r="G1131" s="2" t="s">
        <v>1983</v>
      </c>
    </row>
    <row r="1132" spans="1:24" x14ac:dyDescent="0.25">
      <c r="A1132" s="2">
        <v>563</v>
      </c>
      <c r="B1132" s="2">
        <v>9522</v>
      </c>
      <c r="C1132" s="2" t="s">
        <v>1984</v>
      </c>
      <c r="D1132" s="2" t="s">
        <v>399</v>
      </c>
      <c r="E1132" s="2" t="s">
        <v>1985</v>
      </c>
      <c r="F1132" s="2" t="s">
        <v>1986</v>
      </c>
      <c r="G1132" s="2">
        <v>814</v>
      </c>
      <c r="H1132" s="2">
        <v>0</v>
      </c>
      <c r="I1132" s="2">
        <v>0</v>
      </c>
      <c r="J1132" s="2">
        <v>0</v>
      </c>
      <c r="K1132" s="2">
        <v>0</v>
      </c>
      <c r="L1132" s="2">
        <v>0</v>
      </c>
      <c r="M1132" s="2">
        <v>30</v>
      </c>
      <c r="N1132" s="2">
        <v>0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v>0</v>
      </c>
      <c r="W1132" s="2">
        <v>0</v>
      </c>
      <c r="X1132" s="2">
        <v>844</v>
      </c>
    </row>
    <row r="1133" spans="1:24" x14ac:dyDescent="0.25">
      <c r="G1133" s="2" t="s">
        <v>1987</v>
      </c>
    </row>
    <row r="1134" spans="1:24" x14ac:dyDescent="0.25">
      <c r="A1134" s="2">
        <v>564</v>
      </c>
      <c r="B1134" s="2">
        <v>5631</v>
      </c>
      <c r="C1134" s="2" t="s">
        <v>1988</v>
      </c>
      <c r="D1134" s="2" t="s">
        <v>264</v>
      </c>
      <c r="E1134" s="2" t="s">
        <v>540</v>
      </c>
      <c r="F1134" s="2" t="s">
        <v>1989</v>
      </c>
      <c r="G1134" s="2">
        <v>814</v>
      </c>
      <c r="H1134" s="2">
        <v>0</v>
      </c>
      <c r="I1134" s="2">
        <v>0</v>
      </c>
      <c r="J1134" s="2">
        <v>0</v>
      </c>
      <c r="K1134" s="2">
        <v>0</v>
      </c>
      <c r="L1134" s="2">
        <v>0</v>
      </c>
      <c r="M1134" s="2">
        <v>30</v>
      </c>
      <c r="N1134" s="2">
        <v>0</v>
      </c>
      <c r="O1134" s="2">
        <v>0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v>0</v>
      </c>
      <c r="W1134" s="2">
        <v>0</v>
      </c>
      <c r="X1134" s="2">
        <v>844</v>
      </c>
    </row>
    <row r="1135" spans="1:24" x14ac:dyDescent="0.25">
      <c r="G1135" s="2" t="s">
        <v>1990</v>
      </c>
    </row>
    <row r="1136" spans="1:24" x14ac:dyDescent="0.25">
      <c r="A1136" s="2">
        <v>565</v>
      </c>
      <c r="B1136" s="2">
        <v>12830</v>
      </c>
      <c r="C1136" s="2" t="s">
        <v>1991</v>
      </c>
      <c r="D1136" s="2" t="s">
        <v>1992</v>
      </c>
      <c r="E1136" s="2" t="s">
        <v>148</v>
      </c>
      <c r="F1136" s="2" t="s">
        <v>1993</v>
      </c>
      <c r="G1136" s="2">
        <v>843.7</v>
      </c>
      <c r="H1136" s="2">
        <v>0</v>
      </c>
      <c r="I1136" s="2">
        <v>0</v>
      </c>
      <c r="J1136" s="2">
        <v>0</v>
      </c>
      <c r="K1136" s="2">
        <v>0</v>
      </c>
      <c r="L1136" s="2">
        <v>0</v>
      </c>
      <c r="M1136" s="2">
        <v>0</v>
      </c>
      <c r="N1136" s="2">
        <v>0</v>
      </c>
      <c r="O1136" s="2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v>0</v>
      </c>
      <c r="W1136" s="2">
        <v>0</v>
      </c>
      <c r="X1136" s="2">
        <v>843.7</v>
      </c>
    </row>
    <row r="1137" spans="1:24" x14ac:dyDescent="0.25">
      <c r="G1137" s="2" t="s">
        <v>1994</v>
      </c>
    </row>
    <row r="1138" spans="1:24" x14ac:dyDescent="0.25">
      <c r="A1138" s="2">
        <v>566</v>
      </c>
      <c r="B1138" s="2">
        <v>8166</v>
      </c>
      <c r="C1138" s="2" t="s">
        <v>1995</v>
      </c>
      <c r="D1138" s="2" t="s">
        <v>365</v>
      </c>
      <c r="E1138" s="2" t="s">
        <v>51</v>
      </c>
      <c r="F1138" s="2" t="s">
        <v>1996</v>
      </c>
      <c r="G1138" s="2">
        <v>843.7</v>
      </c>
      <c r="H1138" s="2">
        <v>0</v>
      </c>
      <c r="I1138" s="2">
        <v>0</v>
      </c>
      <c r="J1138" s="2">
        <v>0</v>
      </c>
      <c r="K1138" s="2">
        <v>0</v>
      </c>
      <c r="L1138" s="2">
        <v>0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v>0</v>
      </c>
      <c r="W1138" s="2">
        <v>0</v>
      </c>
      <c r="X1138" s="2">
        <v>843.7</v>
      </c>
    </row>
    <row r="1139" spans="1:24" x14ac:dyDescent="0.25">
      <c r="G1139" s="2" t="s">
        <v>1997</v>
      </c>
    </row>
    <row r="1140" spans="1:24" x14ac:dyDescent="0.25">
      <c r="A1140" s="2">
        <v>567</v>
      </c>
      <c r="B1140" s="2">
        <v>9311</v>
      </c>
      <c r="C1140" s="2" t="s">
        <v>1998</v>
      </c>
      <c r="D1140" s="2" t="s">
        <v>1999</v>
      </c>
      <c r="E1140" s="2" t="s">
        <v>898</v>
      </c>
      <c r="F1140" s="2" t="s">
        <v>2000</v>
      </c>
      <c r="G1140" s="2">
        <v>773.3</v>
      </c>
      <c r="H1140" s="2">
        <v>0</v>
      </c>
      <c r="I1140" s="2">
        <v>0</v>
      </c>
      <c r="J1140" s="2">
        <v>0</v>
      </c>
      <c r="K1140" s="2">
        <v>0</v>
      </c>
      <c r="L1140" s="2">
        <v>0</v>
      </c>
      <c r="M1140" s="2">
        <v>70</v>
      </c>
      <c r="N1140" s="2">
        <v>0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v>0</v>
      </c>
      <c r="W1140" s="2">
        <v>0</v>
      </c>
      <c r="X1140" s="2">
        <v>843.3</v>
      </c>
    </row>
    <row r="1141" spans="1:24" x14ac:dyDescent="0.25">
      <c r="G1141" s="2" t="s">
        <v>2001</v>
      </c>
    </row>
    <row r="1142" spans="1:24" x14ac:dyDescent="0.25">
      <c r="A1142" s="2">
        <v>568</v>
      </c>
      <c r="B1142" s="2">
        <v>223</v>
      </c>
      <c r="C1142" s="2" t="s">
        <v>2002</v>
      </c>
      <c r="D1142" s="2" t="s">
        <v>415</v>
      </c>
      <c r="E1142" s="2" t="s">
        <v>39</v>
      </c>
      <c r="F1142" s="2" t="s">
        <v>2003</v>
      </c>
      <c r="G1142" s="2">
        <v>773.3</v>
      </c>
      <c r="H1142" s="2">
        <v>0</v>
      </c>
      <c r="I1142" s="2">
        <v>0</v>
      </c>
      <c r="J1142" s="2">
        <v>0</v>
      </c>
      <c r="K1142" s="2">
        <v>0</v>
      </c>
      <c r="L1142" s="2">
        <v>0</v>
      </c>
      <c r="M1142" s="2">
        <v>70</v>
      </c>
      <c r="N1142" s="2">
        <v>0</v>
      </c>
      <c r="O1142" s="2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v>0</v>
      </c>
      <c r="W1142" s="2">
        <v>0</v>
      </c>
      <c r="X1142" s="2">
        <v>843.3</v>
      </c>
    </row>
    <row r="1143" spans="1:24" x14ac:dyDescent="0.25">
      <c r="G1143" s="2" t="s">
        <v>2004</v>
      </c>
    </row>
    <row r="1144" spans="1:24" x14ac:dyDescent="0.25">
      <c r="A1144" s="2">
        <v>569</v>
      </c>
      <c r="B1144" s="2">
        <v>14484</v>
      </c>
      <c r="C1144" s="2" t="s">
        <v>2005</v>
      </c>
      <c r="D1144" s="2" t="s">
        <v>2006</v>
      </c>
      <c r="E1144" s="2" t="s">
        <v>2007</v>
      </c>
      <c r="F1144" s="2" t="s">
        <v>2008</v>
      </c>
      <c r="G1144" s="2">
        <v>793.1</v>
      </c>
      <c r="H1144" s="2">
        <v>0</v>
      </c>
      <c r="I1144" s="2">
        <v>0</v>
      </c>
      <c r="J1144" s="2">
        <v>0</v>
      </c>
      <c r="K1144" s="2">
        <v>0</v>
      </c>
      <c r="L1144" s="2">
        <v>0</v>
      </c>
      <c r="M1144" s="2">
        <v>50</v>
      </c>
      <c r="N1144" s="2">
        <v>0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v>0</v>
      </c>
      <c r="W1144" s="2">
        <v>0</v>
      </c>
      <c r="X1144" s="2">
        <v>843.1</v>
      </c>
    </row>
    <row r="1145" spans="1:24" x14ac:dyDescent="0.25">
      <c r="G1145" s="2" t="s">
        <v>2009</v>
      </c>
    </row>
    <row r="1146" spans="1:24" x14ac:dyDescent="0.25">
      <c r="A1146" s="2">
        <v>570</v>
      </c>
      <c r="B1146" s="2">
        <v>13603</v>
      </c>
      <c r="C1146" s="2" t="s">
        <v>2010</v>
      </c>
      <c r="D1146" s="2" t="s">
        <v>2011</v>
      </c>
      <c r="E1146" s="2" t="s">
        <v>51</v>
      </c>
      <c r="F1146" s="2" t="s">
        <v>2012</v>
      </c>
      <c r="G1146" s="2">
        <v>812.9</v>
      </c>
      <c r="H1146" s="2">
        <v>0</v>
      </c>
      <c r="I1146" s="2">
        <v>0</v>
      </c>
      <c r="J1146" s="2">
        <v>0</v>
      </c>
      <c r="K1146" s="2">
        <v>0</v>
      </c>
      <c r="L1146" s="2">
        <v>0</v>
      </c>
      <c r="M1146" s="2">
        <v>30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v>0</v>
      </c>
      <c r="W1146" s="2">
        <v>0</v>
      </c>
      <c r="X1146" s="2">
        <v>842.9</v>
      </c>
    </row>
    <row r="1147" spans="1:24" x14ac:dyDescent="0.25">
      <c r="G1147" s="2" t="s">
        <v>2013</v>
      </c>
    </row>
    <row r="1148" spans="1:24" x14ac:dyDescent="0.25">
      <c r="A1148" s="2">
        <v>571</v>
      </c>
      <c r="B1148" s="2">
        <v>16580</v>
      </c>
      <c r="C1148" s="2" t="s">
        <v>2014</v>
      </c>
      <c r="D1148" s="2" t="s">
        <v>373</v>
      </c>
      <c r="E1148" s="2" t="s">
        <v>127</v>
      </c>
      <c r="F1148" s="2" t="s">
        <v>2015</v>
      </c>
      <c r="G1148" s="2">
        <v>812.9</v>
      </c>
      <c r="H1148" s="2">
        <v>0</v>
      </c>
      <c r="I1148" s="2">
        <v>0</v>
      </c>
      <c r="J1148" s="2">
        <v>0</v>
      </c>
      <c r="K1148" s="2">
        <v>0</v>
      </c>
      <c r="L1148" s="2">
        <v>0</v>
      </c>
      <c r="M1148" s="2">
        <v>30</v>
      </c>
      <c r="N1148" s="2">
        <v>0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v>0</v>
      </c>
      <c r="W1148" s="2">
        <v>0</v>
      </c>
      <c r="X1148" s="2">
        <v>842.9</v>
      </c>
    </row>
    <row r="1149" spans="1:24" x14ac:dyDescent="0.25">
      <c r="G1149" s="2" t="s">
        <v>2016</v>
      </c>
    </row>
    <row r="1150" spans="1:24" x14ac:dyDescent="0.25">
      <c r="A1150" s="2">
        <v>572</v>
      </c>
      <c r="B1150" s="2">
        <v>14742</v>
      </c>
      <c r="C1150" s="2" t="s">
        <v>2017</v>
      </c>
      <c r="D1150" s="2" t="s">
        <v>2018</v>
      </c>
      <c r="E1150" s="2" t="s">
        <v>1809</v>
      </c>
      <c r="F1150" s="2" t="s">
        <v>2019</v>
      </c>
      <c r="G1150" s="2">
        <v>812.9</v>
      </c>
      <c r="H1150" s="2">
        <v>0</v>
      </c>
      <c r="I1150" s="2">
        <v>0</v>
      </c>
      <c r="J1150" s="2">
        <v>0</v>
      </c>
      <c r="K1150" s="2">
        <v>0</v>
      </c>
      <c r="L1150" s="2">
        <v>0</v>
      </c>
      <c r="M1150" s="2">
        <v>30</v>
      </c>
      <c r="N1150" s="2">
        <v>0</v>
      </c>
      <c r="O1150" s="2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v>0</v>
      </c>
      <c r="W1150" s="2">
        <v>0</v>
      </c>
      <c r="X1150" s="2">
        <v>842.9</v>
      </c>
    </row>
    <row r="1151" spans="1:24" x14ac:dyDescent="0.25">
      <c r="G1151" s="2" t="s">
        <v>2020</v>
      </c>
    </row>
    <row r="1152" spans="1:24" x14ac:dyDescent="0.25">
      <c r="A1152" s="2">
        <v>573</v>
      </c>
      <c r="B1152" s="2">
        <v>9632</v>
      </c>
      <c r="C1152" s="2" t="s">
        <v>2021</v>
      </c>
      <c r="D1152" s="2" t="s">
        <v>107</v>
      </c>
      <c r="E1152" s="2" t="s">
        <v>2022</v>
      </c>
      <c r="F1152" s="2" t="s">
        <v>2023</v>
      </c>
      <c r="G1152" s="2">
        <v>812.9</v>
      </c>
      <c r="H1152" s="2">
        <v>0</v>
      </c>
      <c r="I1152" s="2">
        <v>0</v>
      </c>
      <c r="J1152" s="2">
        <v>0</v>
      </c>
      <c r="K1152" s="2">
        <v>0</v>
      </c>
      <c r="L1152" s="2">
        <v>0</v>
      </c>
      <c r="M1152" s="2">
        <v>30</v>
      </c>
      <c r="N1152" s="2">
        <v>0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v>0</v>
      </c>
      <c r="W1152" s="2">
        <v>0</v>
      </c>
      <c r="X1152" s="2">
        <v>842.9</v>
      </c>
    </row>
    <row r="1153" spans="1:24" x14ac:dyDescent="0.25">
      <c r="G1153" s="2" t="s">
        <v>2024</v>
      </c>
    </row>
    <row r="1154" spans="1:24" x14ac:dyDescent="0.25">
      <c r="A1154" s="2">
        <v>574</v>
      </c>
      <c r="B1154" s="2">
        <v>5014</v>
      </c>
      <c r="C1154" s="2" t="s">
        <v>2025</v>
      </c>
      <c r="D1154" s="2" t="s">
        <v>39</v>
      </c>
      <c r="E1154" s="2" t="s">
        <v>127</v>
      </c>
      <c r="F1154" s="2" t="s">
        <v>2026</v>
      </c>
      <c r="G1154" s="2">
        <v>812.9</v>
      </c>
      <c r="H1154" s="2">
        <v>0</v>
      </c>
      <c r="I1154" s="2">
        <v>0</v>
      </c>
      <c r="J1154" s="2">
        <v>0</v>
      </c>
      <c r="K1154" s="2">
        <v>0</v>
      </c>
      <c r="L1154" s="2">
        <v>0</v>
      </c>
      <c r="M1154" s="2">
        <v>30</v>
      </c>
      <c r="N1154" s="2">
        <v>0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v>0</v>
      </c>
      <c r="W1154" s="2">
        <v>1</v>
      </c>
      <c r="X1154" s="2">
        <v>842.9</v>
      </c>
    </row>
    <row r="1155" spans="1:24" x14ac:dyDescent="0.25">
      <c r="G1155" s="2" t="s">
        <v>2027</v>
      </c>
    </row>
    <row r="1156" spans="1:24" x14ac:dyDescent="0.25">
      <c r="A1156" s="2">
        <v>575</v>
      </c>
      <c r="B1156" s="2">
        <v>802</v>
      </c>
      <c r="C1156" s="2" t="s">
        <v>2028</v>
      </c>
      <c r="D1156" s="2" t="s">
        <v>2029</v>
      </c>
      <c r="E1156" s="2" t="s">
        <v>346</v>
      </c>
      <c r="F1156" s="2" t="s">
        <v>2030</v>
      </c>
      <c r="G1156" s="2">
        <v>842.6</v>
      </c>
      <c r="H1156" s="2">
        <v>0</v>
      </c>
      <c r="I1156" s="2">
        <v>0</v>
      </c>
      <c r="J1156" s="2">
        <v>0</v>
      </c>
      <c r="K1156" s="2">
        <v>0</v>
      </c>
      <c r="L1156" s="2">
        <v>0</v>
      </c>
      <c r="M1156" s="2">
        <v>0</v>
      </c>
      <c r="N1156" s="2">
        <v>0</v>
      </c>
      <c r="O1156" s="2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v>0</v>
      </c>
      <c r="W1156" s="2">
        <v>0</v>
      </c>
      <c r="X1156" s="2">
        <v>842.6</v>
      </c>
    </row>
    <row r="1157" spans="1:24" x14ac:dyDescent="0.25">
      <c r="G1157" s="2" t="s">
        <v>2031</v>
      </c>
    </row>
    <row r="1158" spans="1:24" x14ac:dyDescent="0.25">
      <c r="A1158" s="2">
        <v>576</v>
      </c>
      <c r="B1158" s="2">
        <v>14642</v>
      </c>
      <c r="C1158" s="2" t="s">
        <v>2032</v>
      </c>
      <c r="D1158" s="2" t="s">
        <v>430</v>
      </c>
      <c r="E1158" s="2" t="s">
        <v>39</v>
      </c>
      <c r="F1158" s="2" t="s">
        <v>2033</v>
      </c>
      <c r="G1158" s="2">
        <v>842.6</v>
      </c>
      <c r="H1158" s="2">
        <v>0</v>
      </c>
      <c r="I1158" s="2">
        <v>0</v>
      </c>
      <c r="J1158" s="2">
        <v>0</v>
      </c>
      <c r="K1158" s="2">
        <v>0</v>
      </c>
      <c r="L1158" s="2">
        <v>0</v>
      </c>
      <c r="M1158" s="2">
        <v>0</v>
      </c>
      <c r="N1158" s="2">
        <v>0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v>0</v>
      </c>
      <c r="W1158" s="2">
        <v>0</v>
      </c>
      <c r="X1158" s="2">
        <v>842.6</v>
      </c>
    </row>
    <row r="1159" spans="1:24" x14ac:dyDescent="0.25">
      <c r="G1159" s="2" t="s">
        <v>2034</v>
      </c>
    </row>
    <row r="1160" spans="1:24" x14ac:dyDescent="0.25">
      <c r="A1160" s="2">
        <v>577</v>
      </c>
      <c r="B1160" s="2">
        <v>13790</v>
      </c>
      <c r="C1160" s="2" t="s">
        <v>2035</v>
      </c>
      <c r="D1160" s="2" t="s">
        <v>148</v>
      </c>
      <c r="E1160" s="2" t="s">
        <v>39</v>
      </c>
      <c r="F1160" s="2" t="s">
        <v>2036</v>
      </c>
      <c r="G1160" s="2">
        <v>811.8</v>
      </c>
      <c r="H1160" s="2">
        <v>0</v>
      </c>
      <c r="I1160" s="2">
        <v>0</v>
      </c>
      <c r="J1160" s="2">
        <v>0</v>
      </c>
      <c r="K1160" s="2">
        <v>0</v>
      </c>
      <c r="L1160" s="2">
        <v>0</v>
      </c>
      <c r="M1160" s="2">
        <v>30</v>
      </c>
      <c r="N1160" s="2">
        <v>0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v>0</v>
      </c>
      <c r="W1160" s="2">
        <v>0</v>
      </c>
      <c r="X1160" s="2">
        <v>841.8</v>
      </c>
    </row>
    <row r="1161" spans="1:24" x14ac:dyDescent="0.25">
      <c r="G1161" s="2" t="s">
        <v>2037</v>
      </c>
    </row>
    <row r="1162" spans="1:24" x14ac:dyDescent="0.25">
      <c r="A1162" s="2">
        <v>578</v>
      </c>
      <c r="B1162" s="2">
        <v>1449</v>
      </c>
      <c r="C1162" s="2" t="s">
        <v>710</v>
      </c>
      <c r="D1162" s="2" t="s">
        <v>1399</v>
      </c>
      <c r="E1162" s="2" t="s">
        <v>127</v>
      </c>
      <c r="F1162" s="2" t="s">
        <v>2038</v>
      </c>
      <c r="G1162" s="2">
        <v>811.8</v>
      </c>
      <c r="H1162" s="2">
        <v>0</v>
      </c>
      <c r="I1162" s="2">
        <v>0</v>
      </c>
      <c r="J1162" s="2">
        <v>0</v>
      </c>
      <c r="K1162" s="2">
        <v>0</v>
      </c>
      <c r="L1162" s="2">
        <v>0</v>
      </c>
      <c r="M1162" s="2">
        <v>30</v>
      </c>
      <c r="N1162" s="2">
        <v>0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v>0</v>
      </c>
      <c r="W1162" s="2">
        <v>0</v>
      </c>
      <c r="X1162" s="2">
        <v>841.8</v>
      </c>
    </row>
    <row r="1163" spans="1:24" x14ac:dyDescent="0.25">
      <c r="G1163" s="2" t="s">
        <v>2039</v>
      </c>
    </row>
    <row r="1164" spans="1:24" x14ac:dyDescent="0.25">
      <c r="A1164" s="2">
        <v>579</v>
      </c>
      <c r="B1164" s="2">
        <v>11299</v>
      </c>
      <c r="C1164" s="2" t="s">
        <v>2040</v>
      </c>
      <c r="D1164" s="2" t="s">
        <v>2041</v>
      </c>
      <c r="E1164" s="2" t="s">
        <v>113</v>
      </c>
      <c r="F1164" s="2" t="s">
        <v>2042</v>
      </c>
      <c r="G1164" s="2">
        <v>741.4</v>
      </c>
      <c r="H1164" s="2">
        <v>0</v>
      </c>
      <c r="I1164" s="2">
        <v>0</v>
      </c>
      <c r="J1164" s="2">
        <v>0</v>
      </c>
      <c r="K1164" s="2">
        <v>0</v>
      </c>
      <c r="L1164" s="2">
        <v>100</v>
      </c>
      <c r="M1164" s="2">
        <v>0</v>
      </c>
      <c r="N1164" s="2">
        <v>0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v>0</v>
      </c>
      <c r="W1164" s="2">
        <v>0</v>
      </c>
      <c r="X1164" s="2">
        <v>841.4</v>
      </c>
    </row>
    <row r="1165" spans="1:24" x14ac:dyDescent="0.25">
      <c r="G1165" s="2" t="s">
        <v>2043</v>
      </c>
    </row>
    <row r="1166" spans="1:24" x14ac:dyDescent="0.25">
      <c r="A1166" s="2">
        <v>580</v>
      </c>
      <c r="B1166" s="2">
        <v>7376</v>
      </c>
      <c r="C1166" s="2" t="s">
        <v>2044</v>
      </c>
      <c r="D1166" s="2" t="s">
        <v>248</v>
      </c>
      <c r="E1166" s="2" t="s">
        <v>39</v>
      </c>
      <c r="F1166" s="2" t="s">
        <v>2045</v>
      </c>
      <c r="G1166" s="2">
        <v>771.1</v>
      </c>
      <c r="H1166" s="2">
        <v>0</v>
      </c>
      <c r="I1166" s="2">
        <v>0</v>
      </c>
      <c r="J1166" s="2">
        <v>0</v>
      </c>
      <c r="K1166" s="2">
        <v>0</v>
      </c>
      <c r="L1166" s="2">
        <v>0</v>
      </c>
      <c r="M1166" s="2">
        <v>70</v>
      </c>
      <c r="N1166" s="2">
        <v>0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v>0</v>
      </c>
      <c r="W1166" s="2">
        <v>0</v>
      </c>
      <c r="X1166" s="2">
        <v>841.1</v>
      </c>
    </row>
    <row r="1167" spans="1:24" x14ac:dyDescent="0.25">
      <c r="G1167" s="2" t="s">
        <v>2046</v>
      </c>
    </row>
    <row r="1168" spans="1:24" x14ac:dyDescent="0.25">
      <c r="A1168" s="2">
        <v>581</v>
      </c>
      <c r="B1168" s="2">
        <v>16455</v>
      </c>
      <c r="C1168" s="2" t="s">
        <v>2047</v>
      </c>
      <c r="D1168" s="2" t="s">
        <v>510</v>
      </c>
      <c r="E1168" s="2" t="s">
        <v>2048</v>
      </c>
      <c r="F1168" s="2" t="s">
        <v>2049</v>
      </c>
      <c r="G1168" s="2">
        <v>781</v>
      </c>
      <c r="H1168" s="2">
        <v>0</v>
      </c>
      <c r="I1168" s="2">
        <v>0</v>
      </c>
      <c r="J1168" s="2">
        <v>0</v>
      </c>
      <c r="K1168" s="2">
        <v>0</v>
      </c>
      <c r="L1168" s="2">
        <v>0</v>
      </c>
      <c r="M1168" s="2">
        <v>30</v>
      </c>
      <c r="N1168" s="2">
        <v>30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v>0</v>
      </c>
      <c r="W1168" s="2">
        <v>0</v>
      </c>
      <c r="X1168" s="2">
        <v>841</v>
      </c>
    </row>
    <row r="1169" spans="1:24" x14ac:dyDescent="0.25">
      <c r="G1169" s="2" t="s">
        <v>2050</v>
      </c>
    </row>
    <row r="1170" spans="1:24" x14ac:dyDescent="0.25">
      <c r="A1170" s="2">
        <v>582</v>
      </c>
      <c r="B1170" s="2">
        <v>9444</v>
      </c>
      <c r="C1170" s="2" t="s">
        <v>2051</v>
      </c>
      <c r="D1170" s="2" t="s">
        <v>164</v>
      </c>
      <c r="E1170" s="2" t="s">
        <v>73</v>
      </c>
      <c r="F1170" s="2" t="s">
        <v>2052</v>
      </c>
      <c r="G1170" s="2">
        <v>790.9</v>
      </c>
      <c r="H1170" s="2">
        <v>0</v>
      </c>
      <c r="I1170" s="2">
        <v>0</v>
      </c>
      <c r="J1170" s="2">
        <v>0</v>
      </c>
      <c r="K1170" s="2">
        <v>0</v>
      </c>
      <c r="L1170" s="2">
        <v>0</v>
      </c>
      <c r="M1170" s="2">
        <v>50</v>
      </c>
      <c r="N1170" s="2">
        <v>0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v>0</v>
      </c>
      <c r="W1170" s="2">
        <v>0</v>
      </c>
      <c r="X1170" s="2">
        <v>840.9</v>
      </c>
    </row>
    <row r="1171" spans="1:24" x14ac:dyDescent="0.25">
      <c r="G1171" s="2" t="s">
        <v>2053</v>
      </c>
    </row>
    <row r="1172" spans="1:24" x14ac:dyDescent="0.25">
      <c r="A1172" s="2">
        <v>583</v>
      </c>
      <c r="B1172" s="2">
        <v>16492</v>
      </c>
      <c r="C1172" s="2" t="s">
        <v>1423</v>
      </c>
      <c r="D1172" s="2" t="s">
        <v>38</v>
      </c>
      <c r="E1172" s="2" t="s">
        <v>138</v>
      </c>
      <c r="F1172" s="2" t="s">
        <v>2054</v>
      </c>
      <c r="G1172" s="2">
        <v>790.9</v>
      </c>
      <c r="H1172" s="2">
        <v>0</v>
      </c>
      <c r="I1172" s="2">
        <v>0</v>
      </c>
      <c r="J1172" s="2">
        <v>0</v>
      </c>
      <c r="K1172" s="2">
        <v>0</v>
      </c>
      <c r="L1172" s="2">
        <v>0</v>
      </c>
      <c r="M1172" s="2">
        <v>50</v>
      </c>
      <c r="N1172" s="2">
        <v>0</v>
      </c>
      <c r="O1172" s="2">
        <v>0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v>0</v>
      </c>
      <c r="W1172" s="2">
        <v>0</v>
      </c>
      <c r="X1172" s="2">
        <v>840.9</v>
      </c>
    </row>
    <row r="1173" spans="1:24" x14ac:dyDescent="0.25">
      <c r="G1173" s="2" t="s">
        <v>2055</v>
      </c>
    </row>
    <row r="1174" spans="1:24" x14ac:dyDescent="0.25">
      <c r="A1174" s="2">
        <v>584</v>
      </c>
      <c r="B1174" s="2">
        <v>13274</v>
      </c>
      <c r="C1174" s="2" t="s">
        <v>2056</v>
      </c>
      <c r="D1174" s="2" t="s">
        <v>208</v>
      </c>
      <c r="E1174" s="2" t="s">
        <v>138</v>
      </c>
      <c r="F1174" s="2" t="s">
        <v>2057</v>
      </c>
      <c r="G1174" s="2">
        <v>810.7</v>
      </c>
      <c r="H1174" s="2">
        <v>0</v>
      </c>
      <c r="I1174" s="2">
        <v>0</v>
      </c>
      <c r="J1174" s="2">
        <v>0</v>
      </c>
      <c r="K1174" s="2">
        <v>0</v>
      </c>
      <c r="L1174" s="2">
        <v>0</v>
      </c>
      <c r="M1174" s="2">
        <v>30</v>
      </c>
      <c r="N1174" s="2">
        <v>0</v>
      </c>
      <c r="O1174" s="2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v>0</v>
      </c>
      <c r="W1174" s="2">
        <v>0</v>
      </c>
      <c r="X1174" s="2">
        <v>840.7</v>
      </c>
    </row>
    <row r="1175" spans="1:24" x14ac:dyDescent="0.25">
      <c r="G1175" s="2" t="s">
        <v>2058</v>
      </c>
    </row>
    <row r="1176" spans="1:24" x14ac:dyDescent="0.25">
      <c r="A1176" s="2">
        <v>585</v>
      </c>
      <c r="B1176" s="2">
        <v>4332</v>
      </c>
      <c r="C1176" s="2" t="s">
        <v>2059</v>
      </c>
      <c r="D1176" s="2" t="s">
        <v>365</v>
      </c>
      <c r="E1176" s="2" t="s">
        <v>73</v>
      </c>
      <c r="F1176" s="2" t="s">
        <v>2060</v>
      </c>
      <c r="G1176" s="2">
        <v>810.7</v>
      </c>
      <c r="H1176" s="2">
        <v>0</v>
      </c>
      <c r="I1176" s="2">
        <v>0</v>
      </c>
      <c r="J1176" s="2">
        <v>0</v>
      </c>
      <c r="K1176" s="2">
        <v>0</v>
      </c>
      <c r="L1176" s="2">
        <v>0</v>
      </c>
      <c r="M1176" s="2">
        <v>30</v>
      </c>
      <c r="N1176" s="2">
        <v>0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v>0</v>
      </c>
      <c r="W1176" s="2">
        <v>0</v>
      </c>
      <c r="X1176" s="2">
        <v>840.7</v>
      </c>
    </row>
    <row r="1177" spans="1:24" x14ac:dyDescent="0.25">
      <c r="G1177" s="2" t="s">
        <v>2061</v>
      </c>
    </row>
    <row r="1178" spans="1:24" x14ac:dyDescent="0.25">
      <c r="A1178" s="2">
        <v>586</v>
      </c>
      <c r="B1178" s="2">
        <v>7602</v>
      </c>
      <c r="C1178" s="2" t="s">
        <v>2062</v>
      </c>
      <c r="D1178" s="2" t="s">
        <v>112</v>
      </c>
      <c r="E1178" s="2" t="s">
        <v>144</v>
      </c>
      <c r="F1178" s="2" t="s">
        <v>2063</v>
      </c>
      <c r="G1178" s="2">
        <v>810.7</v>
      </c>
      <c r="H1178" s="2">
        <v>0</v>
      </c>
      <c r="I1178" s="2">
        <v>0</v>
      </c>
      <c r="J1178" s="2">
        <v>0</v>
      </c>
      <c r="K1178" s="2">
        <v>0</v>
      </c>
      <c r="L1178" s="2">
        <v>0</v>
      </c>
      <c r="M1178" s="2">
        <v>30</v>
      </c>
      <c r="N1178" s="2">
        <v>0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v>0</v>
      </c>
      <c r="W1178" s="2">
        <v>1</v>
      </c>
      <c r="X1178" s="2">
        <v>840.7</v>
      </c>
    </row>
    <row r="1179" spans="1:24" x14ac:dyDescent="0.25">
      <c r="G1179" s="2" t="s">
        <v>2064</v>
      </c>
    </row>
    <row r="1180" spans="1:24" x14ac:dyDescent="0.25">
      <c r="A1180" s="2">
        <v>587</v>
      </c>
      <c r="B1180" s="2">
        <v>12804</v>
      </c>
      <c r="C1180" s="2" t="s">
        <v>2065</v>
      </c>
      <c r="D1180" s="2" t="s">
        <v>107</v>
      </c>
      <c r="E1180" s="2" t="s">
        <v>199</v>
      </c>
      <c r="F1180" s="2" t="s">
        <v>2066</v>
      </c>
      <c r="G1180" s="2">
        <v>810.7</v>
      </c>
      <c r="H1180" s="2">
        <v>0</v>
      </c>
      <c r="I1180" s="2">
        <v>0</v>
      </c>
      <c r="J1180" s="2">
        <v>0</v>
      </c>
      <c r="K1180" s="2">
        <v>0</v>
      </c>
      <c r="L1180" s="2">
        <v>0</v>
      </c>
      <c r="M1180" s="2">
        <v>30</v>
      </c>
      <c r="N1180" s="2">
        <v>0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v>0</v>
      </c>
      <c r="W1180" s="2">
        <v>0</v>
      </c>
      <c r="X1180" s="2">
        <v>840.7</v>
      </c>
    </row>
    <row r="1181" spans="1:24" x14ac:dyDescent="0.25">
      <c r="G1181" s="2" t="s">
        <v>2067</v>
      </c>
    </row>
    <row r="1182" spans="1:24" x14ac:dyDescent="0.25">
      <c r="A1182" s="2">
        <v>588</v>
      </c>
      <c r="B1182" s="2">
        <v>4728</v>
      </c>
      <c r="C1182" s="2" t="s">
        <v>2068</v>
      </c>
      <c r="D1182" s="2" t="s">
        <v>235</v>
      </c>
      <c r="E1182" s="2" t="s">
        <v>73</v>
      </c>
      <c r="F1182" s="2" t="s">
        <v>2069</v>
      </c>
      <c r="G1182" s="2">
        <v>840.4</v>
      </c>
      <c r="H1182" s="2">
        <v>0</v>
      </c>
      <c r="I1182" s="2">
        <v>0</v>
      </c>
      <c r="J1182" s="2">
        <v>0</v>
      </c>
      <c r="K1182" s="2">
        <v>0</v>
      </c>
      <c r="L1182" s="2">
        <v>0</v>
      </c>
      <c r="M1182" s="2">
        <v>0</v>
      </c>
      <c r="N1182" s="2">
        <v>0</v>
      </c>
      <c r="O1182" s="2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v>0</v>
      </c>
      <c r="W1182" s="2">
        <v>0</v>
      </c>
      <c r="X1182" s="2">
        <v>840.4</v>
      </c>
    </row>
    <row r="1183" spans="1:24" x14ac:dyDescent="0.25">
      <c r="G1183" s="2" t="s">
        <v>2070</v>
      </c>
    </row>
    <row r="1184" spans="1:24" x14ac:dyDescent="0.25">
      <c r="A1184" s="2">
        <v>589</v>
      </c>
      <c r="B1184" s="2">
        <v>10442</v>
      </c>
      <c r="C1184" s="2" t="s">
        <v>2071</v>
      </c>
      <c r="D1184" s="2" t="s">
        <v>2072</v>
      </c>
      <c r="E1184" s="2" t="s">
        <v>2073</v>
      </c>
      <c r="F1184" s="2" t="s">
        <v>2074</v>
      </c>
      <c r="G1184" s="2">
        <v>840.4</v>
      </c>
      <c r="H1184" s="2">
        <v>0</v>
      </c>
      <c r="I1184" s="2">
        <v>0</v>
      </c>
      <c r="J1184" s="2">
        <v>0</v>
      </c>
      <c r="K1184" s="2">
        <v>0</v>
      </c>
      <c r="L1184" s="2">
        <v>0</v>
      </c>
      <c r="M1184" s="2">
        <v>0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v>0</v>
      </c>
      <c r="W1184" s="2">
        <v>0</v>
      </c>
      <c r="X1184" s="2">
        <v>840.4</v>
      </c>
    </row>
    <row r="1185" spans="1:24" x14ac:dyDescent="0.25">
      <c r="G1185" s="2" t="s">
        <v>2075</v>
      </c>
    </row>
    <row r="1186" spans="1:24" x14ac:dyDescent="0.25">
      <c r="A1186" s="2">
        <v>590</v>
      </c>
      <c r="B1186" s="2">
        <v>15084</v>
      </c>
      <c r="C1186" s="2" t="s">
        <v>2076</v>
      </c>
      <c r="D1186" s="2" t="s">
        <v>2077</v>
      </c>
      <c r="E1186" s="2" t="s">
        <v>144</v>
      </c>
      <c r="F1186" s="2" t="s">
        <v>2078</v>
      </c>
      <c r="G1186" s="2">
        <v>770</v>
      </c>
      <c r="H1186" s="2">
        <v>0</v>
      </c>
      <c r="I1186" s="2">
        <v>0</v>
      </c>
      <c r="J1186" s="2">
        <v>0</v>
      </c>
      <c r="K1186" s="2">
        <v>0</v>
      </c>
      <c r="L1186" s="2">
        <v>0</v>
      </c>
      <c r="M1186" s="2">
        <v>70</v>
      </c>
      <c r="N1186" s="2">
        <v>0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v>0</v>
      </c>
      <c r="W1186" s="2">
        <v>0</v>
      </c>
      <c r="X1186" s="2">
        <v>840</v>
      </c>
    </row>
    <row r="1187" spans="1:24" x14ac:dyDescent="0.25">
      <c r="G1187" s="2" t="s">
        <v>2079</v>
      </c>
    </row>
    <row r="1188" spans="1:24" x14ac:dyDescent="0.25">
      <c r="A1188" s="2">
        <v>591</v>
      </c>
      <c r="B1188" s="2">
        <v>12202</v>
      </c>
      <c r="C1188" s="2" t="s">
        <v>2080</v>
      </c>
      <c r="D1188" s="2" t="s">
        <v>112</v>
      </c>
      <c r="E1188" s="2" t="s">
        <v>84</v>
      </c>
      <c r="F1188" s="2" t="s">
        <v>2081</v>
      </c>
      <c r="G1188" s="2">
        <v>779.9</v>
      </c>
      <c r="H1188" s="2">
        <v>0</v>
      </c>
      <c r="I1188" s="2">
        <v>0</v>
      </c>
      <c r="J1188" s="2">
        <v>0</v>
      </c>
      <c r="K1188" s="2">
        <v>0</v>
      </c>
      <c r="L1188" s="2">
        <v>0</v>
      </c>
      <c r="M1188" s="2">
        <v>30</v>
      </c>
      <c r="N1188" s="2">
        <v>30</v>
      </c>
      <c r="O1188" s="2">
        <v>0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v>0</v>
      </c>
      <c r="W1188" s="2">
        <v>0</v>
      </c>
      <c r="X1188" s="2">
        <v>839.9</v>
      </c>
    </row>
    <row r="1189" spans="1:24" x14ac:dyDescent="0.25">
      <c r="G1189" s="2" t="s">
        <v>2082</v>
      </c>
    </row>
    <row r="1190" spans="1:24" x14ac:dyDescent="0.25">
      <c r="A1190" s="2">
        <v>592</v>
      </c>
      <c r="B1190" s="2">
        <v>12145</v>
      </c>
      <c r="C1190" s="2" t="s">
        <v>2083</v>
      </c>
      <c r="D1190" s="2" t="s">
        <v>38</v>
      </c>
      <c r="E1190" s="2" t="s">
        <v>2084</v>
      </c>
      <c r="F1190" s="2" t="s">
        <v>2085</v>
      </c>
      <c r="G1190" s="2">
        <v>809.6</v>
      </c>
      <c r="H1190" s="2">
        <v>0</v>
      </c>
      <c r="I1190" s="2">
        <v>0</v>
      </c>
      <c r="J1190" s="2">
        <v>0</v>
      </c>
      <c r="K1190" s="2">
        <v>0</v>
      </c>
      <c r="L1190" s="2">
        <v>0</v>
      </c>
      <c r="M1190" s="2">
        <v>30</v>
      </c>
      <c r="N1190" s="2">
        <v>0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v>0</v>
      </c>
      <c r="W1190" s="2">
        <v>0</v>
      </c>
      <c r="X1190" s="2">
        <v>839.6</v>
      </c>
    </row>
    <row r="1191" spans="1:24" x14ac:dyDescent="0.25">
      <c r="G1191" s="2" t="s">
        <v>2086</v>
      </c>
    </row>
    <row r="1192" spans="1:24" x14ac:dyDescent="0.25">
      <c r="A1192" s="2">
        <v>593</v>
      </c>
      <c r="B1192" s="2">
        <v>15952</v>
      </c>
      <c r="C1192" s="2" t="s">
        <v>2087</v>
      </c>
      <c r="D1192" s="2" t="s">
        <v>2011</v>
      </c>
      <c r="E1192" s="2" t="s">
        <v>2088</v>
      </c>
      <c r="F1192" s="2" t="s">
        <v>2089</v>
      </c>
      <c r="G1192" s="2">
        <v>809.6</v>
      </c>
      <c r="H1192" s="2">
        <v>0</v>
      </c>
      <c r="I1192" s="2">
        <v>0</v>
      </c>
      <c r="J1192" s="2">
        <v>0</v>
      </c>
      <c r="K1192" s="2">
        <v>0</v>
      </c>
      <c r="L1192" s="2">
        <v>0</v>
      </c>
      <c r="M1192" s="2">
        <v>30</v>
      </c>
      <c r="N1192" s="2">
        <v>0</v>
      </c>
      <c r="O1192" s="2">
        <v>0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v>0</v>
      </c>
      <c r="W1192" s="2">
        <v>0</v>
      </c>
      <c r="X1192" s="2">
        <v>839.6</v>
      </c>
    </row>
    <row r="1193" spans="1:24" x14ac:dyDescent="0.25">
      <c r="G1193" s="2" t="s">
        <v>2090</v>
      </c>
    </row>
    <row r="1194" spans="1:24" x14ac:dyDescent="0.25">
      <c r="A1194" s="2">
        <v>594</v>
      </c>
      <c r="B1194" s="2">
        <v>14165</v>
      </c>
      <c r="C1194" s="2" t="s">
        <v>2091</v>
      </c>
      <c r="D1194" s="2" t="s">
        <v>182</v>
      </c>
      <c r="E1194" s="2" t="s">
        <v>194</v>
      </c>
      <c r="F1194" s="2" t="s">
        <v>2092</v>
      </c>
      <c r="G1194" s="2">
        <v>839.3</v>
      </c>
      <c r="H1194" s="2">
        <v>0</v>
      </c>
      <c r="I1194" s="2">
        <v>0</v>
      </c>
      <c r="J1194" s="2">
        <v>0</v>
      </c>
      <c r="K1194" s="2">
        <v>0</v>
      </c>
      <c r="L1194" s="2">
        <v>0</v>
      </c>
      <c r="M1194" s="2">
        <v>0</v>
      </c>
      <c r="N1194" s="2">
        <v>0</v>
      </c>
      <c r="O1194" s="2">
        <v>0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v>0</v>
      </c>
      <c r="W1194" s="2">
        <v>0</v>
      </c>
      <c r="X1194" s="2">
        <v>839.3</v>
      </c>
    </row>
    <row r="1195" spans="1:24" x14ac:dyDescent="0.25">
      <c r="G1195" s="2" t="s">
        <v>2093</v>
      </c>
    </row>
    <row r="1196" spans="1:24" x14ac:dyDescent="0.25">
      <c r="A1196" s="2">
        <v>595</v>
      </c>
      <c r="B1196" s="2">
        <v>12988</v>
      </c>
      <c r="C1196" s="2" t="s">
        <v>2094</v>
      </c>
      <c r="D1196" s="2" t="s">
        <v>558</v>
      </c>
      <c r="E1196" s="2" t="s">
        <v>73</v>
      </c>
      <c r="F1196" s="2" t="s">
        <v>2095</v>
      </c>
      <c r="G1196" s="2">
        <v>808.5</v>
      </c>
      <c r="H1196" s="2">
        <v>0</v>
      </c>
      <c r="I1196" s="2">
        <v>0</v>
      </c>
      <c r="J1196" s="2">
        <v>0</v>
      </c>
      <c r="K1196" s="2">
        <v>0</v>
      </c>
      <c r="L1196" s="2">
        <v>0</v>
      </c>
      <c r="M1196" s="2">
        <v>30</v>
      </c>
      <c r="N1196" s="2">
        <v>0</v>
      </c>
      <c r="O1196" s="2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v>0</v>
      </c>
      <c r="W1196" s="2">
        <v>0</v>
      </c>
      <c r="X1196" s="2">
        <v>838.5</v>
      </c>
    </row>
    <row r="1197" spans="1:24" x14ac:dyDescent="0.25">
      <c r="G1197" s="2" t="s">
        <v>2096</v>
      </c>
    </row>
    <row r="1198" spans="1:24" x14ac:dyDescent="0.25">
      <c r="A1198" s="2">
        <v>596</v>
      </c>
      <c r="B1198" s="2">
        <v>8019</v>
      </c>
      <c r="C1198" s="2" t="s">
        <v>1969</v>
      </c>
      <c r="D1198" s="2" t="s">
        <v>256</v>
      </c>
      <c r="E1198" s="2" t="s">
        <v>302</v>
      </c>
      <c r="F1198" s="2" t="s">
        <v>2097</v>
      </c>
      <c r="G1198" s="2">
        <v>808.5</v>
      </c>
      <c r="H1198" s="2">
        <v>0</v>
      </c>
      <c r="I1198" s="2">
        <v>0</v>
      </c>
      <c r="J1198" s="2">
        <v>0</v>
      </c>
      <c r="K1198" s="2">
        <v>0</v>
      </c>
      <c r="L1198" s="2">
        <v>0</v>
      </c>
      <c r="M1198" s="2">
        <v>30</v>
      </c>
      <c r="N1198" s="2">
        <v>0</v>
      </c>
      <c r="O1198" s="2">
        <v>0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v>0</v>
      </c>
      <c r="W1198" s="2">
        <v>0</v>
      </c>
      <c r="X1198" s="2">
        <v>838.5</v>
      </c>
    </row>
    <row r="1199" spans="1:24" x14ac:dyDescent="0.25">
      <c r="G1199" s="2" t="s">
        <v>2098</v>
      </c>
    </row>
    <row r="1200" spans="1:24" x14ac:dyDescent="0.25">
      <c r="A1200" s="2">
        <v>597</v>
      </c>
      <c r="B1200" s="2">
        <v>11261</v>
      </c>
      <c r="C1200" s="2" t="s">
        <v>2099</v>
      </c>
      <c r="D1200" s="2" t="s">
        <v>248</v>
      </c>
      <c r="E1200" s="2" t="s">
        <v>133</v>
      </c>
      <c r="F1200" s="2" t="s">
        <v>2100</v>
      </c>
      <c r="G1200" s="2">
        <v>808.5</v>
      </c>
      <c r="H1200" s="2">
        <v>0</v>
      </c>
      <c r="I1200" s="2">
        <v>0</v>
      </c>
      <c r="J1200" s="2">
        <v>0</v>
      </c>
      <c r="K1200" s="2">
        <v>0</v>
      </c>
      <c r="L1200" s="2">
        <v>0</v>
      </c>
      <c r="M1200" s="2">
        <v>30</v>
      </c>
      <c r="N1200" s="2">
        <v>0</v>
      </c>
      <c r="O1200" s="2">
        <v>0</v>
      </c>
      <c r="P1200" s="2">
        <v>0</v>
      </c>
      <c r="Q1200" s="2">
        <v>0</v>
      </c>
      <c r="R1200" s="2">
        <v>0</v>
      </c>
      <c r="S1200" s="2">
        <v>0</v>
      </c>
      <c r="T1200" s="2">
        <v>0</v>
      </c>
      <c r="U1200" s="2">
        <v>0</v>
      </c>
      <c r="W1200" s="2">
        <v>0</v>
      </c>
      <c r="X1200" s="2">
        <v>838.5</v>
      </c>
    </row>
    <row r="1201" spans="1:24" x14ac:dyDescent="0.25">
      <c r="G1201" s="2" t="s">
        <v>2101</v>
      </c>
    </row>
    <row r="1202" spans="1:24" x14ac:dyDescent="0.25">
      <c r="A1202" s="2">
        <v>598</v>
      </c>
      <c r="B1202" s="2">
        <v>9142</v>
      </c>
      <c r="C1202" s="2" t="s">
        <v>2102</v>
      </c>
      <c r="D1202" s="2" t="s">
        <v>456</v>
      </c>
      <c r="E1202" s="2" t="s">
        <v>90</v>
      </c>
      <c r="F1202" s="2" t="s">
        <v>2103</v>
      </c>
      <c r="G1202" s="2">
        <v>838.2</v>
      </c>
      <c r="H1202" s="2">
        <v>0</v>
      </c>
      <c r="I1202" s="2">
        <v>0</v>
      </c>
      <c r="J1202" s="2">
        <v>0</v>
      </c>
      <c r="K1202" s="2">
        <v>0</v>
      </c>
      <c r="L1202" s="2">
        <v>0</v>
      </c>
      <c r="M1202" s="2">
        <v>0</v>
      </c>
      <c r="N1202" s="2">
        <v>0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v>0</v>
      </c>
      <c r="W1202" s="2">
        <v>0</v>
      </c>
      <c r="X1202" s="2">
        <v>838.2</v>
      </c>
    </row>
    <row r="1203" spans="1:24" x14ac:dyDescent="0.25">
      <c r="G1203" s="2" t="s">
        <v>2104</v>
      </c>
    </row>
    <row r="1204" spans="1:24" x14ac:dyDescent="0.25">
      <c r="A1204" s="2">
        <v>599</v>
      </c>
      <c r="B1204" s="2">
        <v>11770</v>
      </c>
      <c r="C1204" s="2" t="s">
        <v>2105</v>
      </c>
      <c r="D1204" s="2" t="s">
        <v>1560</v>
      </c>
      <c r="E1204" s="2" t="s">
        <v>51</v>
      </c>
      <c r="F1204" s="2" t="s">
        <v>2106</v>
      </c>
      <c r="G1204" s="2">
        <v>838.2</v>
      </c>
      <c r="H1204" s="2">
        <v>0</v>
      </c>
      <c r="I1204" s="2">
        <v>0</v>
      </c>
      <c r="J1204" s="2">
        <v>0</v>
      </c>
      <c r="K1204" s="2">
        <v>0</v>
      </c>
      <c r="L1204" s="2">
        <v>0</v>
      </c>
      <c r="M1204" s="2">
        <v>0</v>
      </c>
      <c r="N1204" s="2">
        <v>0</v>
      </c>
      <c r="O1204" s="2">
        <v>0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v>0</v>
      </c>
      <c r="W1204" s="2">
        <v>0</v>
      </c>
      <c r="X1204" s="2">
        <v>838.2</v>
      </c>
    </row>
    <row r="1205" spans="1:24" x14ac:dyDescent="0.25">
      <c r="G1205" s="2" t="s">
        <v>2107</v>
      </c>
    </row>
    <row r="1206" spans="1:24" x14ac:dyDescent="0.25">
      <c r="A1206" s="2">
        <v>600</v>
      </c>
      <c r="B1206" s="2">
        <v>7071</v>
      </c>
      <c r="C1206" s="2" t="s">
        <v>2108</v>
      </c>
      <c r="D1206" s="2" t="s">
        <v>1943</v>
      </c>
      <c r="E1206" s="2" t="s">
        <v>126</v>
      </c>
      <c r="F1206" s="2" t="s">
        <v>2109</v>
      </c>
      <c r="G1206" s="2">
        <v>787.6</v>
      </c>
      <c r="H1206" s="2">
        <v>0</v>
      </c>
      <c r="I1206" s="2">
        <v>0</v>
      </c>
      <c r="J1206" s="2">
        <v>0</v>
      </c>
      <c r="K1206" s="2">
        <v>0</v>
      </c>
      <c r="L1206" s="2">
        <v>0</v>
      </c>
      <c r="M1206" s="2">
        <v>50</v>
      </c>
      <c r="N1206" s="2">
        <v>0</v>
      </c>
      <c r="O1206" s="2">
        <v>0</v>
      </c>
      <c r="P1206" s="2">
        <v>0</v>
      </c>
      <c r="Q1206" s="2">
        <v>0</v>
      </c>
      <c r="R1206" s="2">
        <v>0</v>
      </c>
      <c r="S1206" s="2">
        <v>0</v>
      </c>
      <c r="T1206" s="2">
        <v>0</v>
      </c>
      <c r="U1206" s="2">
        <v>0</v>
      </c>
      <c r="W1206" s="2">
        <v>0</v>
      </c>
      <c r="X1206" s="2">
        <v>837.6</v>
      </c>
    </row>
    <row r="1207" spans="1:24" x14ac:dyDescent="0.25">
      <c r="G1207" s="2" t="s">
        <v>2110</v>
      </c>
    </row>
    <row r="1208" spans="1:24" x14ac:dyDescent="0.25">
      <c r="A1208" s="2">
        <v>601</v>
      </c>
      <c r="B1208" s="2">
        <v>15610</v>
      </c>
      <c r="C1208" s="2" t="s">
        <v>2111</v>
      </c>
      <c r="D1208" s="2" t="s">
        <v>275</v>
      </c>
      <c r="E1208" s="2" t="s">
        <v>39</v>
      </c>
      <c r="F1208" s="2" t="s">
        <v>2112</v>
      </c>
      <c r="G1208" s="2">
        <v>787.6</v>
      </c>
      <c r="H1208" s="2">
        <v>0</v>
      </c>
      <c r="I1208" s="2">
        <v>0</v>
      </c>
      <c r="J1208" s="2">
        <v>0</v>
      </c>
      <c r="K1208" s="2">
        <v>0</v>
      </c>
      <c r="L1208" s="2">
        <v>0</v>
      </c>
      <c r="M1208" s="2">
        <v>50</v>
      </c>
      <c r="N1208" s="2">
        <v>0</v>
      </c>
      <c r="O1208" s="2">
        <v>0</v>
      </c>
      <c r="P1208" s="2">
        <v>0</v>
      </c>
      <c r="Q1208" s="2">
        <v>0</v>
      </c>
      <c r="R1208" s="2">
        <v>0</v>
      </c>
      <c r="S1208" s="2">
        <v>0</v>
      </c>
      <c r="T1208" s="2">
        <v>0</v>
      </c>
      <c r="U1208" s="2">
        <v>0</v>
      </c>
      <c r="W1208" s="2">
        <v>0</v>
      </c>
      <c r="X1208" s="2">
        <v>837.6</v>
      </c>
    </row>
    <row r="1209" spans="1:24" x14ac:dyDescent="0.25">
      <c r="G1209" s="2" t="s">
        <v>2113</v>
      </c>
    </row>
    <row r="1210" spans="1:24" x14ac:dyDescent="0.25">
      <c r="A1210" s="2">
        <v>602</v>
      </c>
      <c r="B1210" s="2">
        <v>7921</v>
      </c>
      <c r="C1210" s="2" t="s">
        <v>2114</v>
      </c>
      <c r="D1210" s="2" t="s">
        <v>2115</v>
      </c>
      <c r="E1210" s="2" t="s">
        <v>199</v>
      </c>
      <c r="F1210" s="2" t="s">
        <v>2116</v>
      </c>
      <c r="G1210" s="2">
        <v>807.4</v>
      </c>
      <c r="H1210" s="2">
        <v>0</v>
      </c>
      <c r="I1210" s="2">
        <v>0</v>
      </c>
      <c r="J1210" s="2">
        <v>0</v>
      </c>
      <c r="K1210" s="2">
        <v>0</v>
      </c>
      <c r="L1210" s="2">
        <v>0</v>
      </c>
      <c r="M1210" s="2">
        <v>30</v>
      </c>
      <c r="N1210" s="2">
        <v>0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v>0</v>
      </c>
      <c r="W1210" s="2">
        <v>0</v>
      </c>
      <c r="X1210" s="2">
        <v>837.4</v>
      </c>
    </row>
    <row r="1211" spans="1:24" x14ac:dyDescent="0.25">
      <c r="G1211" s="2" t="s">
        <v>545</v>
      </c>
    </row>
    <row r="1212" spans="1:24" x14ac:dyDescent="0.25">
      <c r="A1212" s="2">
        <v>603</v>
      </c>
      <c r="B1212" s="2">
        <v>2</v>
      </c>
      <c r="C1212" s="2" t="s">
        <v>2117</v>
      </c>
      <c r="D1212" s="2" t="s">
        <v>248</v>
      </c>
      <c r="E1212" s="2" t="s">
        <v>133</v>
      </c>
      <c r="F1212" s="2" t="s">
        <v>2118</v>
      </c>
      <c r="G1212" s="2">
        <v>807.4</v>
      </c>
      <c r="H1212" s="2">
        <v>0</v>
      </c>
      <c r="I1212" s="2">
        <v>0</v>
      </c>
      <c r="J1212" s="2">
        <v>0</v>
      </c>
      <c r="K1212" s="2">
        <v>0</v>
      </c>
      <c r="L1212" s="2">
        <v>0</v>
      </c>
      <c r="M1212" s="2">
        <v>30</v>
      </c>
      <c r="N1212" s="2">
        <v>0</v>
      </c>
      <c r="O1212" s="2">
        <v>0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v>0</v>
      </c>
      <c r="W1212" s="2">
        <v>0</v>
      </c>
      <c r="X1212" s="2">
        <v>837.4</v>
      </c>
    </row>
    <row r="1213" spans="1:24" x14ac:dyDescent="0.25">
      <c r="G1213" s="2" t="s">
        <v>2119</v>
      </c>
    </row>
    <row r="1214" spans="1:24" x14ac:dyDescent="0.25">
      <c r="A1214" s="2">
        <v>604</v>
      </c>
      <c r="B1214" s="2">
        <v>12636</v>
      </c>
      <c r="C1214" s="2" t="s">
        <v>2121</v>
      </c>
      <c r="D1214" s="2" t="s">
        <v>1125</v>
      </c>
      <c r="E1214" s="2" t="s">
        <v>113</v>
      </c>
      <c r="F1214" s="2" t="s">
        <v>2122</v>
      </c>
      <c r="G1214" s="2">
        <v>807.4</v>
      </c>
      <c r="H1214" s="2">
        <v>0</v>
      </c>
      <c r="I1214" s="2">
        <v>0</v>
      </c>
      <c r="J1214" s="2">
        <v>0</v>
      </c>
      <c r="K1214" s="2">
        <v>0</v>
      </c>
      <c r="L1214" s="2">
        <v>0</v>
      </c>
      <c r="M1214" s="2">
        <v>30</v>
      </c>
      <c r="N1214" s="2">
        <v>0</v>
      </c>
      <c r="O1214" s="2">
        <v>0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v>0</v>
      </c>
      <c r="W1214" s="2">
        <v>1</v>
      </c>
      <c r="X1214" s="2">
        <v>837.4</v>
      </c>
    </row>
    <row r="1215" spans="1:24" x14ac:dyDescent="0.25">
      <c r="G1215" s="2" t="s">
        <v>2123</v>
      </c>
    </row>
    <row r="1216" spans="1:24" x14ac:dyDescent="0.25">
      <c r="A1216" s="2">
        <v>605</v>
      </c>
      <c r="B1216" s="2">
        <v>7958</v>
      </c>
      <c r="C1216" s="2" t="s">
        <v>2124</v>
      </c>
      <c r="D1216" s="2" t="s">
        <v>248</v>
      </c>
      <c r="E1216" s="2" t="s">
        <v>148</v>
      </c>
      <c r="F1216" s="2" t="s">
        <v>2125</v>
      </c>
      <c r="G1216" s="2">
        <v>807.4</v>
      </c>
      <c r="H1216" s="2">
        <v>0</v>
      </c>
      <c r="I1216" s="2">
        <v>0</v>
      </c>
      <c r="J1216" s="2">
        <v>0</v>
      </c>
      <c r="K1216" s="2">
        <v>0</v>
      </c>
      <c r="L1216" s="2">
        <v>0</v>
      </c>
      <c r="M1216" s="2">
        <v>30</v>
      </c>
      <c r="N1216" s="2">
        <v>0</v>
      </c>
      <c r="O1216" s="2">
        <v>0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v>0</v>
      </c>
      <c r="W1216" s="2">
        <v>0</v>
      </c>
      <c r="X1216" s="2">
        <v>837.4</v>
      </c>
    </row>
    <row r="1217" spans="1:24" x14ac:dyDescent="0.25">
      <c r="G1217" s="2" t="s">
        <v>2126</v>
      </c>
    </row>
    <row r="1218" spans="1:24" x14ac:dyDescent="0.25">
      <c r="A1218" s="2">
        <v>606</v>
      </c>
      <c r="B1218" s="2">
        <v>3217</v>
      </c>
      <c r="C1218" s="2" t="s">
        <v>2127</v>
      </c>
      <c r="D1218" s="2" t="s">
        <v>248</v>
      </c>
      <c r="E1218" s="2" t="s">
        <v>51</v>
      </c>
      <c r="F1218" s="2" t="s">
        <v>2128</v>
      </c>
      <c r="G1218" s="2">
        <v>807.4</v>
      </c>
      <c r="H1218" s="2">
        <v>0</v>
      </c>
      <c r="I1218" s="2">
        <v>0</v>
      </c>
      <c r="J1218" s="2">
        <v>0</v>
      </c>
      <c r="K1218" s="2">
        <v>0</v>
      </c>
      <c r="L1218" s="2">
        <v>0</v>
      </c>
      <c r="M1218" s="2">
        <v>30</v>
      </c>
      <c r="N1218" s="2">
        <v>0</v>
      </c>
      <c r="O1218" s="2">
        <v>0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v>0</v>
      </c>
      <c r="W1218" s="2">
        <v>0</v>
      </c>
      <c r="X1218" s="2">
        <v>837.4</v>
      </c>
    </row>
    <row r="1219" spans="1:24" x14ac:dyDescent="0.25">
      <c r="G1219" s="2" t="s">
        <v>2129</v>
      </c>
    </row>
    <row r="1220" spans="1:24" x14ac:dyDescent="0.25">
      <c r="A1220" s="2">
        <v>607</v>
      </c>
      <c r="B1220" s="2">
        <v>13901</v>
      </c>
      <c r="C1220" s="2" t="s">
        <v>2130</v>
      </c>
      <c r="D1220" s="2" t="s">
        <v>415</v>
      </c>
      <c r="E1220" s="2" t="s">
        <v>2131</v>
      </c>
      <c r="F1220" s="2" t="s">
        <v>2132</v>
      </c>
      <c r="G1220" s="2">
        <v>837.1</v>
      </c>
      <c r="H1220" s="2">
        <v>0</v>
      </c>
      <c r="I1220" s="2">
        <v>0</v>
      </c>
      <c r="J1220" s="2">
        <v>0</v>
      </c>
      <c r="K1220" s="2">
        <v>0</v>
      </c>
      <c r="L1220" s="2">
        <v>0</v>
      </c>
      <c r="M1220" s="2">
        <v>0</v>
      </c>
      <c r="N1220" s="2">
        <v>0</v>
      </c>
      <c r="O1220" s="2">
        <v>0</v>
      </c>
      <c r="P1220" s="2">
        <v>0</v>
      </c>
      <c r="Q1220" s="2">
        <v>0</v>
      </c>
      <c r="R1220" s="2">
        <v>0</v>
      </c>
      <c r="S1220" s="2">
        <v>0</v>
      </c>
      <c r="T1220" s="2">
        <v>0</v>
      </c>
      <c r="U1220" s="2">
        <v>0</v>
      </c>
      <c r="W1220" s="2">
        <v>0</v>
      </c>
      <c r="X1220" s="2">
        <v>837.1</v>
      </c>
    </row>
    <row r="1221" spans="1:24" x14ac:dyDescent="0.25">
      <c r="G1221" s="2" t="s">
        <v>2133</v>
      </c>
    </row>
    <row r="1222" spans="1:24" x14ac:dyDescent="0.25">
      <c r="A1222" s="2">
        <v>608</v>
      </c>
      <c r="B1222" s="2">
        <v>337</v>
      </c>
      <c r="C1222" s="2" t="s">
        <v>2134</v>
      </c>
      <c r="D1222" s="2" t="s">
        <v>279</v>
      </c>
      <c r="E1222" s="2" t="s">
        <v>79</v>
      </c>
      <c r="F1222" s="2" t="s">
        <v>2135</v>
      </c>
      <c r="G1222" s="2">
        <v>806.3</v>
      </c>
      <c r="H1222" s="2">
        <v>0</v>
      </c>
      <c r="I1222" s="2">
        <v>0</v>
      </c>
      <c r="J1222" s="2">
        <v>0</v>
      </c>
      <c r="K1222" s="2">
        <v>0</v>
      </c>
      <c r="L1222" s="2">
        <v>0</v>
      </c>
      <c r="M1222" s="2">
        <v>30</v>
      </c>
      <c r="N1222" s="2">
        <v>0</v>
      </c>
      <c r="O1222" s="2">
        <v>0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v>0</v>
      </c>
      <c r="W1222" s="2">
        <v>0</v>
      </c>
      <c r="X1222" s="2">
        <v>836.3</v>
      </c>
    </row>
    <row r="1223" spans="1:24" x14ac:dyDescent="0.25">
      <c r="G1223" s="2" t="s">
        <v>2136</v>
      </c>
    </row>
    <row r="1224" spans="1:24" x14ac:dyDescent="0.25">
      <c r="A1224" s="2">
        <v>609</v>
      </c>
      <c r="B1224" s="2">
        <v>191</v>
      </c>
      <c r="C1224" s="2" t="s">
        <v>1778</v>
      </c>
      <c r="D1224" s="2" t="s">
        <v>1936</v>
      </c>
      <c r="E1224" s="2" t="s">
        <v>16</v>
      </c>
      <c r="F1224" s="2" t="s">
        <v>2137</v>
      </c>
      <c r="G1224" s="2">
        <v>806.3</v>
      </c>
      <c r="H1224" s="2">
        <v>0</v>
      </c>
      <c r="I1224" s="2">
        <v>0</v>
      </c>
      <c r="J1224" s="2">
        <v>0</v>
      </c>
      <c r="K1224" s="2">
        <v>0</v>
      </c>
      <c r="L1224" s="2">
        <v>0</v>
      </c>
      <c r="M1224" s="2">
        <v>30</v>
      </c>
      <c r="N1224" s="2">
        <v>0</v>
      </c>
      <c r="O1224" s="2">
        <v>0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v>0</v>
      </c>
      <c r="W1224" s="2">
        <v>0</v>
      </c>
      <c r="X1224" s="2">
        <v>836.3</v>
      </c>
    </row>
    <row r="1225" spans="1:24" x14ac:dyDescent="0.25">
      <c r="G1225" s="2" t="s">
        <v>2138</v>
      </c>
    </row>
    <row r="1226" spans="1:24" x14ac:dyDescent="0.25">
      <c r="A1226" s="2">
        <v>610</v>
      </c>
      <c r="B1226" s="2">
        <v>8151</v>
      </c>
      <c r="C1226" s="2" t="s">
        <v>2139</v>
      </c>
      <c r="D1226" s="2" t="s">
        <v>164</v>
      </c>
      <c r="E1226" s="2" t="s">
        <v>122</v>
      </c>
      <c r="F1226" s="2" t="s">
        <v>2140</v>
      </c>
      <c r="G1226" s="2">
        <v>806.3</v>
      </c>
      <c r="H1226" s="2">
        <v>0</v>
      </c>
      <c r="I1226" s="2">
        <v>0</v>
      </c>
      <c r="J1226" s="2">
        <v>0</v>
      </c>
      <c r="K1226" s="2">
        <v>0</v>
      </c>
      <c r="L1226" s="2">
        <v>0</v>
      </c>
      <c r="M1226" s="2">
        <v>30</v>
      </c>
      <c r="N1226" s="2">
        <v>0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v>0</v>
      </c>
      <c r="W1226" s="2">
        <v>0</v>
      </c>
      <c r="X1226" s="2">
        <v>836.3</v>
      </c>
    </row>
    <row r="1227" spans="1:24" x14ac:dyDescent="0.25">
      <c r="G1227" s="2" t="s">
        <v>2141</v>
      </c>
    </row>
    <row r="1228" spans="1:24" x14ac:dyDescent="0.25">
      <c r="A1228" s="2">
        <v>611</v>
      </c>
      <c r="B1228" s="2">
        <v>16283</v>
      </c>
      <c r="C1228" s="2" t="s">
        <v>2142</v>
      </c>
      <c r="D1228" s="2" t="s">
        <v>965</v>
      </c>
      <c r="E1228" s="2" t="s">
        <v>194</v>
      </c>
      <c r="F1228" s="2" t="s">
        <v>2143</v>
      </c>
      <c r="G1228" s="2">
        <v>806.3</v>
      </c>
      <c r="H1228" s="2">
        <v>0</v>
      </c>
      <c r="I1228" s="2">
        <v>0</v>
      </c>
      <c r="J1228" s="2">
        <v>0</v>
      </c>
      <c r="K1228" s="2">
        <v>0</v>
      </c>
      <c r="L1228" s="2">
        <v>0</v>
      </c>
      <c r="M1228" s="2">
        <v>30</v>
      </c>
      <c r="N1228" s="2">
        <v>0</v>
      </c>
      <c r="O1228" s="2">
        <v>0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v>0</v>
      </c>
      <c r="W1228" s="2">
        <v>0</v>
      </c>
      <c r="X1228" s="2">
        <v>836.3</v>
      </c>
    </row>
    <row r="1229" spans="1:24" x14ac:dyDescent="0.25">
      <c r="G1229" s="2" t="s">
        <v>2144</v>
      </c>
    </row>
    <row r="1230" spans="1:24" x14ac:dyDescent="0.25">
      <c r="A1230" s="2">
        <v>612</v>
      </c>
      <c r="B1230" s="2">
        <v>10566</v>
      </c>
      <c r="C1230" s="2" t="s">
        <v>2145</v>
      </c>
      <c r="D1230" s="2" t="s">
        <v>208</v>
      </c>
      <c r="E1230" s="2" t="s">
        <v>73</v>
      </c>
      <c r="F1230" s="2" t="s">
        <v>2146</v>
      </c>
      <c r="G1230" s="2">
        <v>836</v>
      </c>
      <c r="H1230" s="2">
        <v>0</v>
      </c>
      <c r="I1230" s="2">
        <v>0</v>
      </c>
      <c r="J1230" s="2">
        <v>0</v>
      </c>
      <c r="K1230" s="2">
        <v>0</v>
      </c>
      <c r="L1230" s="2">
        <v>0</v>
      </c>
      <c r="M1230" s="2">
        <v>0</v>
      </c>
      <c r="N1230" s="2">
        <v>0</v>
      </c>
      <c r="O1230" s="2">
        <v>0</v>
      </c>
      <c r="P1230" s="2">
        <v>0</v>
      </c>
      <c r="Q1230" s="2">
        <v>0</v>
      </c>
      <c r="R1230" s="2">
        <v>0</v>
      </c>
      <c r="S1230" s="2">
        <v>0</v>
      </c>
      <c r="T1230" s="2">
        <v>0</v>
      </c>
      <c r="U1230" s="2">
        <v>0</v>
      </c>
      <c r="W1230" s="2">
        <v>0</v>
      </c>
      <c r="X1230" s="2">
        <v>836</v>
      </c>
    </row>
    <row r="1231" spans="1:24" x14ac:dyDescent="0.25">
      <c r="G1231" s="2" t="s">
        <v>2147</v>
      </c>
    </row>
    <row r="1232" spans="1:24" x14ac:dyDescent="0.25">
      <c r="A1232" s="2">
        <v>613</v>
      </c>
      <c r="B1232" s="2">
        <v>889</v>
      </c>
      <c r="C1232" s="2" t="s">
        <v>2148</v>
      </c>
      <c r="D1232" s="2" t="s">
        <v>235</v>
      </c>
      <c r="E1232" s="2" t="s">
        <v>90</v>
      </c>
      <c r="F1232" s="2" t="s">
        <v>2149</v>
      </c>
      <c r="G1232" s="2">
        <v>836</v>
      </c>
      <c r="H1232" s="2">
        <v>0</v>
      </c>
      <c r="I1232" s="2">
        <v>0</v>
      </c>
      <c r="J1232" s="2">
        <v>0</v>
      </c>
      <c r="K1232" s="2">
        <v>0</v>
      </c>
      <c r="L1232" s="2">
        <v>0</v>
      </c>
      <c r="M1232" s="2">
        <v>0</v>
      </c>
      <c r="N1232" s="2">
        <v>0</v>
      </c>
      <c r="O1232" s="2">
        <v>0</v>
      </c>
      <c r="P1232" s="2">
        <v>0</v>
      </c>
      <c r="Q1232" s="2">
        <v>0</v>
      </c>
      <c r="R1232" s="2">
        <v>0</v>
      </c>
      <c r="S1232" s="2">
        <v>0</v>
      </c>
      <c r="T1232" s="2">
        <v>0</v>
      </c>
      <c r="U1232" s="2">
        <v>0</v>
      </c>
      <c r="W1232" s="2">
        <v>0</v>
      </c>
      <c r="X1232" s="2">
        <v>836</v>
      </c>
    </row>
    <row r="1233" spans="1:24" x14ac:dyDescent="0.25">
      <c r="G1233" s="2" t="s">
        <v>2150</v>
      </c>
    </row>
    <row r="1234" spans="1:24" x14ac:dyDescent="0.25">
      <c r="A1234" s="2">
        <v>614</v>
      </c>
      <c r="B1234" s="2">
        <v>11380</v>
      </c>
      <c r="C1234" s="2" t="s">
        <v>2151</v>
      </c>
      <c r="D1234" s="2" t="s">
        <v>634</v>
      </c>
      <c r="E1234" s="2" t="s">
        <v>16</v>
      </c>
      <c r="F1234" s="2" t="s">
        <v>2152</v>
      </c>
      <c r="G1234" s="2">
        <v>805.2</v>
      </c>
      <c r="H1234" s="2">
        <v>0</v>
      </c>
      <c r="I1234" s="2">
        <v>0</v>
      </c>
      <c r="J1234" s="2">
        <v>0</v>
      </c>
      <c r="K1234" s="2">
        <v>0</v>
      </c>
      <c r="L1234" s="2">
        <v>0</v>
      </c>
      <c r="M1234" s="2">
        <v>30</v>
      </c>
      <c r="N1234" s="2">
        <v>0</v>
      </c>
      <c r="O1234" s="2">
        <v>0</v>
      </c>
      <c r="P1234" s="2">
        <v>0</v>
      </c>
      <c r="Q1234" s="2">
        <v>0</v>
      </c>
      <c r="R1234" s="2">
        <v>0</v>
      </c>
      <c r="S1234" s="2">
        <v>0</v>
      </c>
      <c r="T1234" s="2">
        <v>0</v>
      </c>
      <c r="U1234" s="2">
        <v>0</v>
      </c>
      <c r="W1234" s="2">
        <v>0</v>
      </c>
      <c r="X1234" s="2">
        <v>835.2</v>
      </c>
    </row>
    <row r="1235" spans="1:24" x14ac:dyDescent="0.25">
      <c r="G1235" s="2" t="s">
        <v>2153</v>
      </c>
    </row>
    <row r="1236" spans="1:24" x14ac:dyDescent="0.25">
      <c r="A1236" s="2">
        <v>615</v>
      </c>
      <c r="B1236" s="2">
        <v>8883</v>
      </c>
      <c r="C1236" s="2" t="s">
        <v>2154</v>
      </c>
      <c r="D1236" s="2" t="s">
        <v>73</v>
      </c>
      <c r="E1236" s="2" t="s">
        <v>103</v>
      </c>
      <c r="F1236" s="2" t="s">
        <v>2155</v>
      </c>
      <c r="G1236" s="2">
        <v>805.2</v>
      </c>
      <c r="H1236" s="2">
        <v>0</v>
      </c>
      <c r="I1236" s="2">
        <v>0</v>
      </c>
      <c r="J1236" s="2">
        <v>0</v>
      </c>
      <c r="K1236" s="2">
        <v>0</v>
      </c>
      <c r="L1236" s="2">
        <v>0</v>
      </c>
      <c r="M1236" s="2">
        <v>30</v>
      </c>
      <c r="N1236" s="2">
        <v>0</v>
      </c>
      <c r="O1236" s="2">
        <v>0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v>0</v>
      </c>
      <c r="W1236" s="2">
        <v>0</v>
      </c>
      <c r="X1236" s="2">
        <v>835.2</v>
      </c>
    </row>
    <row r="1237" spans="1:24" x14ac:dyDescent="0.25">
      <c r="G1237" s="2" t="s">
        <v>2156</v>
      </c>
    </row>
    <row r="1238" spans="1:24" x14ac:dyDescent="0.25">
      <c r="A1238" s="2">
        <v>616</v>
      </c>
      <c r="B1238" s="2">
        <v>5429</v>
      </c>
      <c r="C1238" s="2" t="s">
        <v>2157</v>
      </c>
      <c r="D1238" s="2" t="s">
        <v>2158</v>
      </c>
      <c r="E1238" s="2" t="s">
        <v>51</v>
      </c>
      <c r="F1238" s="2" t="s">
        <v>2159</v>
      </c>
      <c r="G1238" s="2">
        <v>834.9</v>
      </c>
      <c r="H1238" s="2">
        <v>0</v>
      </c>
      <c r="I1238" s="2">
        <v>0</v>
      </c>
      <c r="J1238" s="2">
        <v>0</v>
      </c>
      <c r="K1238" s="2">
        <v>0</v>
      </c>
      <c r="L1238" s="2">
        <v>0</v>
      </c>
      <c r="M1238" s="2">
        <v>0</v>
      </c>
      <c r="N1238" s="2">
        <v>0</v>
      </c>
      <c r="O1238" s="2">
        <v>0</v>
      </c>
      <c r="P1238" s="2">
        <v>0</v>
      </c>
      <c r="Q1238" s="2">
        <v>0</v>
      </c>
      <c r="R1238" s="2">
        <v>0</v>
      </c>
      <c r="S1238" s="2">
        <v>0</v>
      </c>
      <c r="T1238" s="2">
        <v>0</v>
      </c>
      <c r="U1238" s="2">
        <v>0</v>
      </c>
      <c r="W1238" s="2">
        <v>0</v>
      </c>
      <c r="X1238" s="2">
        <v>834.9</v>
      </c>
    </row>
    <row r="1239" spans="1:24" x14ac:dyDescent="0.25">
      <c r="G1239" s="2" t="s">
        <v>2160</v>
      </c>
    </row>
    <row r="1240" spans="1:24" x14ac:dyDescent="0.25">
      <c r="A1240" s="2">
        <v>617</v>
      </c>
      <c r="B1240" s="2">
        <v>5505</v>
      </c>
      <c r="C1240" s="2" t="s">
        <v>2161</v>
      </c>
      <c r="D1240" s="2" t="s">
        <v>1435</v>
      </c>
      <c r="E1240" s="2" t="s">
        <v>103</v>
      </c>
      <c r="F1240" s="2" t="s">
        <v>2162</v>
      </c>
      <c r="G1240" s="2">
        <v>834.9</v>
      </c>
      <c r="H1240" s="2">
        <v>0</v>
      </c>
      <c r="I1240" s="2">
        <v>0</v>
      </c>
      <c r="J1240" s="2">
        <v>0</v>
      </c>
      <c r="K1240" s="2">
        <v>0</v>
      </c>
      <c r="L1240" s="2">
        <v>0</v>
      </c>
      <c r="M1240" s="2">
        <v>0</v>
      </c>
      <c r="N1240" s="2">
        <v>0</v>
      </c>
      <c r="O1240" s="2">
        <v>0</v>
      </c>
      <c r="P1240" s="2">
        <v>0</v>
      </c>
      <c r="Q1240" s="2">
        <v>0</v>
      </c>
      <c r="R1240" s="2">
        <v>0</v>
      </c>
      <c r="S1240" s="2">
        <v>0</v>
      </c>
      <c r="T1240" s="2">
        <v>0</v>
      </c>
      <c r="U1240" s="2">
        <v>0</v>
      </c>
      <c r="W1240" s="2">
        <v>0</v>
      </c>
      <c r="X1240" s="2">
        <v>834.9</v>
      </c>
    </row>
    <row r="1241" spans="1:24" x14ac:dyDescent="0.25">
      <c r="G1241" s="2" t="s">
        <v>2163</v>
      </c>
    </row>
    <row r="1242" spans="1:24" x14ac:dyDescent="0.25">
      <c r="A1242" s="2">
        <v>618</v>
      </c>
      <c r="B1242" s="2">
        <v>8662</v>
      </c>
      <c r="C1242" s="2" t="s">
        <v>2164</v>
      </c>
      <c r="D1242" s="2" t="s">
        <v>164</v>
      </c>
      <c r="E1242" s="2" t="s">
        <v>126</v>
      </c>
      <c r="F1242" s="2" t="s">
        <v>2165</v>
      </c>
      <c r="G1242" s="2">
        <v>734.8</v>
      </c>
      <c r="H1242" s="2">
        <v>0</v>
      </c>
      <c r="I1242" s="2">
        <v>0</v>
      </c>
      <c r="J1242" s="2">
        <v>0</v>
      </c>
      <c r="K1242" s="2">
        <v>0</v>
      </c>
      <c r="L1242" s="2">
        <v>0</v>
      </c>
      <c r="M1242" s="2">
        <v>70</v>
      </c>
      <c r="N1242" s="2">
        <v>30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v>0</v>
      </c>
      <c r="W1242" s="2">
        <v>0</v>
      </c>
      <c r="X1242" s="2">
        <v>834.8</v>
      </c>
    </row>
    <row r="1243" spans="1:24" x14ac:dyDescent="0.25">
      <c r="G1243" s="2" t="s">
        <v>2166</v>
      </c>
    </row>
    <row r="1244" spans="1:24" x14ac:dyDescent="0.25">
      <c r="A1244" s="2">
        <v>619</v>
      </c>
      <c r="B1244" s="2">
        <v>17247</v>
      </c>
      <c r="C1244" s="2" t="s">
        <v>2167</v>
      </c>
      <c r="D1244" s="2" t="s">
        <v>2168</v>
      </c>
      <c r="E1244" s="2" t="s">
        <v>51</v>
      </c>
      <c r="F1244" s="2" t="s">
        <v>2169</v>
      </c>
      <c r="G1244" s="2">
        <v>764.5</v>
      </c>
      <c r="H1244" s="2">
        <v>0</v>
      </c>
      <c r="I1244" s="2">
        <v>0</v>
      </c>
      <c r="J1244" s="2">
        <v>0</v>
      </c>
      <c r="K1244" s="2">
        <v>0</v>
      </c>
      <c r="L1244" s="2">
        <v>0</v>
      </c>
      <c r="M1244" s="2">
        <v>70</v>
      </c>
      <c r="N1244" s="2">
        <v>0</v>
      </c>
      <c r="O1244" s="2">
        <v>0</v>
      </c>
      <c r="P1244" s="2">
        <v>0</v>
      </c>
      <c r="Q1244" s="2">
        <v>0</v>
      </c>
      <c r="R1244" s="2">
        <v>0</v>
      </c>
      <c r="S1244" s="2">
        <v>0</v>
      </c>
      <c r="T1244" s="2">
        <v>0</v>
      </c>
      <c r="U1244" s="2">
        <v>0</v>
      </c>
      <c r="W1244" s="2">
        <v>0</v>
      </c>
      <c r="X1244" s="2">
        <v>834.5</v>
      </c>
    </row>
    <row r="1245" spans="1:24" x14ac:dyDescent="0.25">
      <c r="G1245" s="2" t="s">
        <v>2170</v>
      </c>
    </row>
    <row r="1246" spans="1:24" x14ac:dyDescent="0.25">
      <c r="A1246" s="2">
        <v>620</v>
      </c>
      <c r="B1246" s="2">
        <v>12086</v>
      </c>
      <c r="C1246" s="2" t="s">
        <v>2171</v>
      </c>
      <c r="D1246" s="2" t="s">
        <v>84</v>
      </c>
      <c r="E1246" s="2" t="s">
        <v>90</v>
      </c>
      <c r="F1246" s="2" t="s">
        <v>2172</v>
      </c>
      <c r="G1246" s="2">
        <v>774.4</v>
      </c>
      <c r="H1246" s="2">
        <v>0</v>
      </c>
      <c r="I1246" s="2">
        <v>0</v>
      </c>
      <c r="J1246" s="2">
        <v>0</v>
      </c>
      <c r="K1246" s="2">
        <v>0</v>
      </c>
      <c r="L1246" s="2">
        <v>0</v>
      </c>
      <c r="M1246" s="2">
        <v>30</v>
      </c>
      <c r="N1246" s="2">
        <v>30</v>
      </c>
      <c r="O1246" s="2">
        <v>0</v>
      </c>
      <c r="P1246" s="2">
        <v>0</v>
      </c>
      <c r="Q1246" s="2">
        <v>0</v>
      </c>
      <c r="R1246" s="2">
        <v>0</v>
      </c>
      <c r="S1246" s="2">
        <v>0</v>
      </c>
      <c r="T1246" s="2">
        <v>0</v>
      </c>
      <c r="U1246" s="2">
        <v>0</v>
      </c>
      <c r="W1246" s="2">
        <v>0</v>
      </c>
      <c r="X1246" s="2">
        <v>834.4</v>
      </c>
    </row>
    <row r="1247" spans="1:24" x14ac:dyDescent="0.25">
      <c r="G1247" s="2" t="s">
        <v>2173</v>
      </c>
    </row>
    <row r="1248" spans="1:24" x14ac:dyDescent="0.25">
      <c r="A1248" s="2">
        <v>621</v>
      </c>
      <c r="B1248" s="2">
        <v>7029</v>
      </c>
      <c r="C1248" s="2" t="s">
        <v>2174</v>
      </c>
      <c r="D1248" s="2" t="s">
        <v>2175</v>
      </c>
      <c r="E1248" s="2" t="s">
        <v>51</v>
      </c>
      <c r="F1248" s="2" t="s">
        <v>2176</v>
      </c>
      <c r="G1248" s="2">
        <v>804.1</v>
      </c>
      <c r="H1248" s="2">
        <v>0</v>
      </c>
      <c r="I1248" s="2">
        <v>0</v>
      </c>
      <c r="J1248" s="2">
        <v>0</v>
      </c>
      <c r="K1248" s="2">
        <v>0</v>
      </c>
      <c r="L1248" s="2">
        <v>0</v>
      </c>
      <c r="M1248" s="2">
        <v>30</v>
      </c>
      <c r="N1248" s="2">
        <v>0</v>
      </c>
      <c r="O1248" s="2">
        <v>0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v>0</v>
      </c>
      <c r="W1248" s="2">
        <v>0</v>
      </c>
      <c r="X1248" s="2">
        <v>834.1</v>
      </c>
    </row>
    <row r="1249" spans="1:24" x14ac:dyDescent="0.25">
      <c r="G1249" s="2" t="s">
        <v>2177</v>
      </c>
    </row>
    <row r="1250" spans="1:24" x14ac:dyDescent="0.25">
      <c r="A1250" s="2">
        <v>622</v>
      </c>
      <c r="B1250" s="2">
        <v>12456</v>
      </c>
      <c r="C1250" s="2" t="s">
        <v>2178</v>
      </c>
      <c r="D1250" s="2" t="s">
        <v>842</v>
      </c>
      <c r="E1250" s="2" t="s">
        <v>45</v>
      </c>
      <c r="F1250" s="2" t="s">
        <v>2179</v>
      </c>
      <c r="G1250" s="2">
        <v>804.1</v>
      </c>
      <c r="H1250" s="2">
        <v>0</v>
      </c>
      <c r="I1250" s="2">
        <v>0</v>
      </c>
      <c r="J1250" s="2">
        <v>0</v>
      </c>
      <c r="K1250" s="2">
        <v>0</v>
      </c>
      <c r="L1250" s="2">
        <v>0</v>
      </c>
      <c r="M1250" s="2">
        <v>30</v>
      </c>
      <c r="N1250" s="2">
        <v>0</v>
      </c>
      <c r="O1250" s="2">
        <v>0</v>
      </c>
      <c r="P1250" s="2">
        <v>0</v>
      </c>
      <c r="Q1250" s="2">
        <v>0</v>
      </c>
      <c r="R1250" s="2">
        <v>0</v>
      </c>
      <c r="S1250" s="2">
        <v>0</v>
      </c>
      <c r="T1250" s="2">
        <v>0</v>
      </c>
      <c r="U1250" s="2">
        <v>0</v>
      </c>
      <c r="W1250" s="2">
        <v>0</v>
      </c>
      <c r="X1250" s="2">
        <v>834.1</v>
      </c>
    </row>
    <row r="1251" spans="1:24" x14ac:dyDescent="0.25">
      <c r="G1251" s="2" t="s">
        <v>2180</v>
      </c>
    </row>
    <row r="1252" spans="1:24" x14ac:dyDescent="0.25">
      <c r="A1252" s="2">
        <v>623</v>
      </c>
      <c r="B1252" s="2">
        <v>2015</v>
      </c>
      <c r="C1252" s="2" t="s">
        <v>2181</v>
      </c>
      <c r="D1252" s="2" t="s">
        <v>208</v>
      </c>
      <c r="E1252" s="2" t="s">
        <v>90</v>
      </c>
      <c r="F1252" s="2" t="s">
        <v>2182</v>
      </c>
      <c r="G1252" s="2">
        <v>804.1</v>
      </c>
      <c r="H1252" s="2">
        <v>0</v>
      </c>
      <c r="I1252" s="2">
        <v>0</v>
      </c>
      <c r="J1252" s="2">
        <v>0</v>
      </c>
      <c r="K1252" s="2">
        <v>0</v>
      </c>
      <c r="L1252" s="2">
        <v>0</v>
      </c>
      <c r="M1252" s="2">
        <v>30</v>
      </c>
      <c r="N1252" s="2">
        <v>0</v>
      </c>
      <c r="O1252" s="2">
        <v>0</v>
      </c>
      <c r="P1252" s="2">
        <v>0</v>
      </c>
      <c r="Q1252" s="2">
        <v>0</v>
      </c>
      <c r="R1252" s="2">
        <v>0</v>
      </c>
      <c r="S1252" s="2">
        <v>0</v>
      </c>
      <c r="T1252" s="2">
        <v>0</v>
      </c>
      <c r="U1252" s="2">
        <v>0</v>
      </c>
      <c r="W1252" s="2">
        <v>0</v>
      </c>
      <c r="X1252" s="2">
        <v>834.1</v>
      </c>
    </row>
    <row r="1253" spans="1:24" x14ac:dyDescent="0.25">
      <c r="G1253" s="2" t="s">
        <v>2183</v>
      </c>
    </row>
    <row r="1254" spans="1:24" x14ac:dyDescent="0.25">
      <c r="A1254" s="2">
        <v>624</v>
      </c>
      <c r="B1254" s="2">
        <v>5948</v>
      </c>
      <c r="C1254" s="2" t="s">
        <v>2184</v>
      </c>
      <c r="D1254" s="2" t="s">
        <v>182</v>
      </c>
      <c r="E1254" s="2" t="s">
        <v>138</v>
      </c>
      <c r="F1254" s="2" t="s">
        <v>2185</v>
      </c>
      <c r="G1254" s="2">
        <v>804.1</v>
      </c>
      <c r="H1254" s="2">
        <v>0</v>
      </c>
      <c r="I1254" s="2">
        <v>0</v>
      </c>
      <c r="J1254" s="2">
        <v>0</v>
      </c>
      <c r="K1254" s="2">
        <v>0</v>
      </c>
      <c r="L1254" s="2">
        <v>0</v>
      </c>
      <c r="M1254" s="2">
        <v>30</v>
      </c>
      <c r="N1254" s="2">
        <v>0</v>
      </c>
      <c r="O1254" s="2">
        <v>0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v>0</v>
      </c>
      <c r="W1254" s="2">
        <v>1</v>
      </c>
      <c r="X1254" s="2">
        <v>834.1</v>
      </c>
    </row>
    <row r="1255" spans="1:24" x14ac:dyDescent="0.25">
      <c r="G1255" s="2" t="s">
        <v>2186</v>
      </c>
    </row>
    <row r="1256" spans="1:24" x14ac:dyDescent="0.25">
      <c r="A1256" s="2">
        <v>625</v>
      </c>
      <c r="B1256" s="2">
        <v>13193</v>
      </c>
      <c r="C1256" s="2" t="s">
        <v>2187</v>
      </c>
      <c r="D1256" s="2" t="s">
        <v>634</v>
      </c>
      <c r="E1256" s="2" t="s">
        <v>84</v>
      </c>
      <c r="F1256" s="2" t="s">
        <v>2188</v>
      </c>
      <c r="G1256" s="2">
        <v>804.1</v>
      </c>
      <c r="H1256" s="2">
        <v>0</v>
      </c>
      <c r="I1256" s="2">
        <v>0</v>
      </c>
      <c r="J1256" s="2">
        <v>0</v>
      </c>
      <c r="K1256" s="2">
        <v>0</v>
      </c>
      <c r="L1256" s="2">
        <v>0</v>
      </c>
      <c r="M1256" s="2">
        <v>30</v>
      </c>
      <c r="N1256" s="2">
        <v>0</v>
      </c>
      <c r="O1256" s="2">
        <v>0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v>0</v>
      </c>
      <c r="W1256" s="2">
        <v>1</v>
      </c>
      <c r="X1256" s="2">
        <v>834.1</v>
      </c>
    </row>
    <row r="1257" spans="1:24" x14ac:dyDescent="0.25">
      <c r="G1257" s="2" t="s">
        <v>2189</v>
      </c>
    </row>
    <row r="1258" spans="1:24" x14ac:dyDescent="0.25">
      <c r="A1258" s="2">
        <v>626</v>
      </c>
      <c r="B1258" s="2">
        <v>3934</v>
      </c>
      <c r="C1258" s="2" t="s">
        <v>2190</v>
      </c>
      <c r="D1258" s="2" t="s">
        <v>284</v>
      </c>
      <c r="E1258" s="2" t="s">
        <v>194</v>
      </c>
      <c r="F1258" s="2" t="s">
        <v>2191</v>
      </c>
      <c r="G1258" s="2">
        <v>833.8</v>
      </c>
      <c r="H1258" s="2">
        <v>0</v>
      </c>
      <c r="I1258" s="2">
        <v>0</v>
      </c>
      <c r="J1258" s="2">
        <v>0</v>
      </c>
      <c r="K1258" s="2">
        <v>0</v>
      </c>
      <c r="L1258" s="2">
        <v>0</v>
      </c>
      <c r="M1258" s="2">
        <v>0</v>
      </c>
      <c r="N1258" s="2">
        <v>0</v>
      </c>
      <c r="O1258" s="2">
        <v>0</v>
      </c>
      <c r="P1258" s="2">
        <v>0</v>
      </c>
      <c r="Q1258" s="2">
        <v>0</v>
      </c>
      <c r="R1258" s="2">
        <v>0</v>
      </c>
      <c r="S1258" s="2">
        <v>0</v>
      </c>
      <c r="T1258" s="2">
        <v>0</v>
      </c>
      <c r="U1258" s="2">
        <v>0</v>
      </c>
      <c r="W1258" s="2">
        <v>0</v>
      </c>
      <c r="X1258" s="2">
        <v>833.8</v>
      </c>
    </row>
    <row r="1259" spans="1:24" x14ac:dyDescent="0.25">
      <c r="G1259" s="2" t="s">
        <v>2192</v>
      </c>
    </row>
    <row r="1260" spans="1:24" x14ac:dyDescent="0.25">
      <c r="A1260" s="2">
        <v>627</v>
      </c>
      <c r="B1260" s="2">
        <v>1138</v>
      </c>
      <c r="C1260" s="2" t="s">
        <v>2193</v>
      </c>
      <c r="D1260" s="2" t="s">
        <v>2194</v>
      </c>
      <c r="E1260" s="2" t="s">
        <v>2195</v>
      </c>
      <c r="F1260" s="2" t="s">
        <v>2196</v>
      </c>
      <c r="G1260" s="2">
        <v>763.4</v>
      </c>
      <c r="H1260" s="2">
        <v>0</v>
      </c>
      <c r="I1260" s="2">
        <v>0</v>
      </c>
      <c r="J1260" s="2">
        <v>0</v>
      </c>
      <c r="K1260" s="2">
        <v>0</v>
      </c>
      <c r="L1260" s="2">
        <v>0</v>
      </c>
      <c r="M1260" s="2">
        <v>70</v>
      </c>
      <c r="N1260" s="2">
        <v>0</v>
      </c>
      <c r="O1260" s="2">
        <v>0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v>0</v>
      </c>
      <c r="W1260" s="2">
        <v>0</v>
      </c>
      <c r="X1260" s="2">
        <v>833.4</v>
      </c>
    </row>
    <row r="1261" spans="1:24" x14ac:dyDescent="0.25">
      <c r="G1261" s="2" t="s">
        <v>2197</v>
      </c>
    </row>
    <row r="1262" spans="1:24" x14ac:dyDescent="0.25">
      <c r="A1262" s="2">
        <v>628</v>
      </c>
      <c r="B1262" s="2">
        <v>8129</v>
      </c>
      <c r="C1262" s="2" t="s">
        <v>2198</v>
      </c>
      <c r="D1262" s="2" t="s">
        <v>90</v>
      </c>
      <c r="E1262" s="2" t="s">
        <v>39</v>
      </c>
      <c r="F1262" s="2" t="s">
        <v>2199</v>
      </c>
      <c r="G1262" s="2">
        <v>803</v>
      </c>
      <c r="H1262" s="2">
        <v>0</v>
      </c>
      <c r="I1262" s="2">
        <v>0</v>
      </c>
      <c r="J1262" s="2">
        <v>0</v>
      </c>
      <c r="K1262" s="2">
        <v>0</v>
      </c>
      <c r="L1262" s="2">
        <v>0</v>
      </c>
      <c r="M1262" s="2">
        <v>30</v>
      </c>
      <c r="N1262" s="2">
        <v>0</v>
      </c>
      <c r="O1262" s="2">
        <v>0</v>
      </c>
      <c r="P1262" s="2">
        <v>0</v>
      </c>
      <c r="Q1262" s="2">
        <v>0</v>
      </c>
      <c r="R1262" s="2">
        <v>0</v>
      </c>
      <c r="S1262" s="2">
        <v>0</v>
      </c>
      <c r="T1262" s="2">
        <v>0</v>
      </c>
      <c r="U1262" s="2">
        <v>0</v>
      </c>
      <c r="W1262" s="2">
        <v>0</v>
      </c>
      <c r="X1262" s="2">
        <v>833</v>
      </c>
    </row>
    <row r="1263" spans="1:24" x14ac:dyDescent="0.25">
      <c r="G1263" s="2" t="s">
        <v>2200</v>
      </c>
    </row>
    <row r="1264" spans="1:24" x14ac:dyDescent="0.25">
      <c r="A1264" s="2">
        <v>629</v>
      </c>
      <c r="B1264" s="2">
        <v>6762</v>
      </c>
      <c r="C1264" s="2" t="s">
        <v>436</v>
      </c>
      <c r="D1264" s="2" t="s">
        <v>2201</v>
      </c>
      <c r="E1264" s="2" t="s">
        <v>73</v>
      </c>
      <c r="F1264" s="2" t="s">
        <v>2202</v>
      </c>
      <c r="G1264" s="2">
        <v>803</v>
      </c>
      <c r="H1264" s="2">
        <v>0</v>
      </c>
      <c r="I1264" s="2">
        <v>0</v>
      </c>
      <c r="J1264" s="2">
        <v>0</v>
      </c>
      <c r="K1264" s="2">
        <v>0</v>
      </c>
      <c r="L1264" s="2">
        <v>0</v>
      </c>
      <c r="M1264" s="2">
        <v>30</v>
      </c>
      <c r="N1264" s="2">
        <v>0</v>
      </c>
      <c r="O1264" s="2">
        <v>0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v>0</v>
      </c>
      <c r="W1264" s="2">
        <v>0</v>
      </c>
      <c r="X1264" s="2">
        <v>833</v>
      </c>
    </row>
    <row r="1265" spans="1:24" x14ac:dyDescent="0.25">
      <c r="G1265" s="2" t="s">
        <v>2203</v>
      </c>
    </row>
    <row r="1266" spans="1:24" x14ac:dyDescent="0.25">
      <c r="A1266" s="2">
        <v>630</v>
      </c>
      <c r="B1266" s="2">
        <v>7418</v>
      </c>
      <c r="C1266" s="2" t="s">
        <v>984</v>
      </c>
      <c r="D1266" s="2" t="s">
        <v>15</v>
      </c>
      <c r="E1266" s="2" t="s">
        <v>39</v>
      </c>
      <c r="F1266" s="2" t="s">
        <v>2204</v>
      </c>
      <c r="G1266" s="2">
        <v>803</v>
      </c>
      <c r="H1266" s="2">
        <v>0</v>
      </c>
      <c r="I1266" s="2">
        <v>0</v>
      </c>
      <c r="J1266" s="2">
        <v>0</v>
      </c>
      <c r="K1266" s="2">
        <v>0</v>
      </c>
      <c r="L1266" s="2">
        <v>0</v>
      </c>
      <c r="M1266" s="2">
        <v>30</v>
      </c>
      <c r="N1266" s="2">
        <v>0</v>
      </c>
      <c r="O1266" s="2">
        <v>0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v>0</v>
      </c>
      <c r="W1266" s="2">
        <v>1</v>
      </c>
      <c r="X1266" s="2">
        <v>833</v>
      </c>
    </row>
    <row r="1267" spans="1:24" x14ac:dyDescent="0.25">
      <c r="G1267" s="2" t="s">
        <v>2205</v>
      </c>
    </row>
    <row r="1268" spans="1:24" x14ac:dyDescent="0.25">
      <c r="A1268" s="2">
        <v>631</v>
      </c>
      <c r="B1268" s="2">
        <v>7001</v>
      </c>
      <c r="C1268" s="2" t="s">
        <v>2206</v>
      </c>
      <c r="D1268" s="2" t="s">
        <v>112</v>
      </c>
      <c r="E1268" s="2" t="s">
        <v>39</v>
      </c>
      <c r="F1268" s="2" t="s">
        <v>2207</v>
      </c>
      <c r="G1268" s="2">
        <v>803</v>
      </c>
      <c r="H1268" s="2">
        <v>0</v>
      </c>
      <c r="I1268" s="2">
        <v>0</v>
      </c>
      <c r="J1268" s="2">
        <v>0</v>
      </c>
      <c r="K1268" s="2">
        <v>0</v>
      </c>
      <c r="L1268" s="2">
        <v>0</v>
      </c>
      <c r="M1268" s="2">
        <v>0</v>
      </c>
      <c r="N1268" s="2">
        <v>30</v>
      </c>
      <c r="O1268" s="2">
        <v>0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v>0</v>
      </c>
      <c r="W1268" s="2">
        <v>0</v>
      </c>
      <c r="X1268" s="2">
        <v>833</v>
      </c>
    </row>
    <row r="1269" spans="1:24" x14ac:dyDescent="0.25">
      <c r="G1269" s="2" t="s">
        <v>2208</v>
      </c>
    </row>
    <row r="1270" spans="1:24" x14ac:dyDescent="0.25">
      <c r="A1270" s="2">
        <v>632</v>
      </c>
      <c r="B1270" s="2">
        <v>14250</v>
      </c>
      <c r="C1270" s="2" t="s">
        <v>1639</v>
      </c>
      <c r="D1270" s="2" t="s">
        <v>284</v>
      </c>
      <c r="E1270" s="2" t="s">
        <v>73</v>
      </c>
      <c r="F1270" s="2" t="s">
        <v>2209</v>
      </c>
      <c r="G1270" s="2">
        <v>803</v>
      </c>
      <c r="H1270" s="2">
        <v>0</v>
      </c>
      <c r="I1270" s="2">
        <v>0</v>
      </c>
      <c r="J1270" s="2">
        <v>0</v>
      </c>
      <c r="K1270" s="2">
        <v>0</v>
      </c>
      <c r="L1270" s="2">
        <v>0</v>
      </c>
      <c r="M1270" s="2">
        <v>30</v>
      </c>
      <c r="N1270" s="2">
        <v>0</v>
      </c>
      <c r="O1270" s="2">
        <v>0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v>0</v>
      </c>
      <c r="W1270" s="2">
        <v>1</v>
      </c>
      <c r="X1270" s="2">
        <v>833</v>
      </c>
    </row>
    <row r="1271" spans="1:24" x14ac:dyDescent="0.25">
      <c r="G1271" s="2" t="s">
        <v>2210</v>
      </c>
    </row>
    <row r="1272" spans="1:24" x14ac:dyDescent="0.25">
      <c r="A1272" s="2">
        <v>633</v>
      </c>
      <c r="B1272" s="2">
        <v>7993</v>
      </c>
      <c r="C1272" s="2" t="s">
        <v>2211</v>
      </c>
      <c r="D1272" s="2" t="s">
        <v>2212</v>
      </c>
      <c r="E1272" s="2" t="s">
        <v>2213</v>
      </c>
      <c r="F1272" s="2" t="s">
        <v>2214</v>
      </c>
      <c r="G1272" s="2">
        <v>803</v>
      </c>
      <c r="H1272" s="2">
        <v>0</v>
      </c>
      <c r="I1272" s="2">
        <v>0</v>
      </c>
      <c r="J1272" s="2">
        <v>0</v>
      </c>
      <c r="K1272" s="2">
        <v>0</v>
      </c>
      <c r="L1272" s="2">
        <v>0</v>
      </c>
      <c r="M1272" s="2">
        <v>30</v>
      </c>
      <c r="N1272" s="2">
        <v>0</v>
      </c>
      <c r="O1272" s="2">
        <v>0</v>
      </c>
      <c r="P1272" s="2">
        <v>0</v>
      </c>
      <c r="Q1272" s="2">
        <v>0</v>
      </c>
      <c r="R1272" s="2">
        <v>0</v>
      </c>
      <c r="S1272" s="2">
        <v>0</v>
      </c>
      <c r="T1272" s="2">
        <v>0</v>
      </c>
      <c r="U1272" s="2">
        <v>0</v>
      </c>
      <c r="W1272" s="2">
        <v>1</v>
      </c>
      <c r="X1272" s="2">
        <v>833</v>
      </c>
    </row>
    <row r="1273" spans="1:24" x14ac:dyDescent="0.25">
      <c r="G1273" s="2" t="s">
        <v>2215</v>
      </c>
    </row>
    <row r="1274" spans="1:24" x14ac:dyDescent="0.25">
      <c r="A1274" s="2">
        <v>634</v>
      </c>
      <c r="B1274" s="2">
        <v>16543</v>
      </c>
      <c r="C1274" s="2" t="s">
        <v>2216</v>
      </c>
      <c r="D1274" s="2" t="s">
        <v>2217</v>
      </c>
      <c r="E1274" s="2" t="s">
        <v>634</v>
      </c>
      <c r="F1274" s="2" t="s">
        <v>2218</v>
      </c>
      <c r="G1274" s="2">
        <v>803</v>
      </c>
      <c r="H1274" s="2">
        <v>0</v>
      </c>
      <c r="I1274" s="2">
        <v>0</v>
      </c>
      <c r="J1274" s="2">
        <v>0</v>
      </c>
      <c r="K1274" s="2">
        <v>0</v>
      </c>
      <c r="L1274" s="2">
        <v>0</v>
      </c>
      <c r="M1274" s="2">
        <v>30</v>
      </c>
      <c r="N1274" s="2">
        <v>0</v>
      </c>
      <c r="O1274" s="2">
        <v>0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v>0</v>
      </c>
      <c r="W1274" s="2">
        <v>0</v>
      </c>
      <c r="X1274" s="2">
        <v>833</v>
      </c>
    </row>
    <row r="1275" spans="1:24" x14ac:dyDescent="0.25">
      <c r="G1275" s="2" t="s">
        <v>2219</v>
      </c>
    </row>
    <row r="1276" spans="1:24" x14ac:dyDescent="0.25">
      <c r="A1276" s="2">
        <v>635</v>
      </c>
      <c r="B1276" s="2">
        <v>10052</v>
      </c>
      <c r="C1276" s="2" t="s">
        <v>2220</v>
      </c>
      <c r="D1276" s="2" t="s">
        <v>138</v>
      </c>
      <c r="E1276" s="2" t="s">
        <v>84</v>
      </c>
      <c r="F1276" s="2" t="s">
        <v>2221</v>
      </c>
      <c r="G1276" s="2">
        <v>801.9</v>
      </c>
      <c r="H1276" s="2">
        <v>0</v>
      </c>
      <c r="I1276" s="2">
        <v>0</v>
      </c>
      <c r="J1276" s="2">
        <v>0</v>
      </c>
      <c r="K1276" s="2">
        <v>0</v>
      </c>
      <c r="L1276" s="2">
        <v>0</v>
      </c>
      <c r="M1276" s="2">
        <v>30</v>
      </c>
      <c r="N1276" s="2">
        <v>0</v>
      </c>
      <c r="O1276" s="2">
        <v>0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v>0</v>
      </c>
      <c r="W1276" s="2">
        <v>0</v>
      </c>
      <c r="X1276" s="2">
        <v>831.9</v>
      </c>
    </row>
    <row r="1277" spans="1:24" x14ac:dyDescent="0.25">
      <c r="G1277" s="2" t="s">
        <v>2222</v>
      </c>
    </row>
    <row r="1278" spans="1:24" x14ac:dyDescent="0.25">
      <c r="A1278" s="2">
        <v>636</v>
      </c>
      <c r="B1278" s="2">
        <v>9712</v>
      </c>
      <c r="C1278" s="2" t="s">
        <v>88</v>
      </c>
      <c r="D1278" s="2" t="s">
        <v>264</v>
      </c>
      <c r="E1278" s="2" t="s">
        <v>73</v>
      </c>
      <c r="F1278" s="2" t="s">
        <v>2223</v>
      </c>
      <c r="G1278" s="2">
        <v>801.9</v>
      </c>
      <c r="H1278" s="2">
        <v>0</v>
      </c>
      <c r="I1278" s="2">
        <v>0</v>
      </c>
      <c r="J1278" s="2">
        <v>0</v>
      </c>
      <c r="K1278" s="2">
        <v>0</v>
      </c>
      <c r="L1278" s="2">
        <v>0</v>
      </c>
      <c r="M1278" s="2">
        <v>30</v>
      </c>
      <c r="N1278" s="2">
        <v>0</v>
      </c>
      <c r="O1278" s="2">
        <v>0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v>0</v>
      </c>
      <c r="W1278" s="2">
        <v>0</v>
      </c>
      <c r="X1278" s="2">
        <v>831.9</v>
      </c>
    </row>
    <row r="1279" spans="1:24" x14ac:dyDescent="0.25">
      <c r="G1279" s="2" t="s">
        <v>2224</v>
      </c>
    </row>
    <row r="1280" spans="1:24" x14ac:dyDescent="0.25">
      <c r="A1280" s="2">
        <v>637</v>
      </c>
      <c r="B1280" s="2">
        <v>9122</v>
      </c>
      <c r="C1280" s="2" t="s">
        <v>2225</v>
      </c>
      <c r="D1280" s="2" t="s">
        <v>953</v>
      </c>
      <c r="E1280" s="2" t="s">
        <v>73</v>
      </c>
      <c r="F1280" s="2" t="s">
        <v>2226</v>
      </c>
      <c r="G1280" s="2">
        <v>801.9</v>
      </c>
      <c r="H1280" s="2">
        <v>0</v>
      </c>
      <c r="I1280" s="2">
        <v>0</v>
      </c>
      <c r="J1280" s="2">
        <v>0</v>
      </c>
      <c r="K1280" s="2">
        <v>0</v>
      </c>
      <c r="L1280" s="2">
        <v>0</v>
      </c>
      <c r="M1280" s="2">
        <v>30</v>
      </c>
      <c r="N1280" s="2">
        <v>0</v>
      </c>
      <c r="O1280" s="2">
        <v>0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v>0</v>
      </c>
      <c r="W1280" s="2">
        <v>0</v>
      </c>
      <c r="X1280" s="2">
        <v>831.9</v>
      </c>
    </row>
    <row r="1281" spans="1:24" x14ac:dyDescent="0.25">
      <c r="G1281" s="2" t="s">
        <v>2227</v>
      </c>
    </row>
    <row r="1282" spans="1:24" x14ac:dyDescent="0.25">
      <c r="A1282" s="2">
        <v>638</v>
      </c>
      <c r="B1282" s="2">
        <v>14924</v>
      </c>
      <c r="C1282" s="2" t="s">
        <v>2228</v>
      </c>
      <c r="D1282" s="2" t="s">
        <v>415</v>
      </c>
      <c r="E1282" s="2" t="s">
        <v>194</v>
      </c>
      <c r="F1282" s="2" t="s">
        <v>2229</v>
      </c>
      <c r="G1282" s="2">
        <v>801.9</v>
      </c>
      <c r="H1282" s="2">
        <v>0</v>
      </c>
      <c r="I1282" s="2">
        <v>0</v>
      </c>
      <c r="J1282" s="2">
        <v>0</v>
      </c>
      <c r="K1282" s="2">
        <v>0</v>
      </c>
      <c r="L1282" s="2">
        <v>0</v>
      </c>
      <c r="M1282" s="2">
        <v>30</v>
      </c>
      <c r="N1282" s="2">
        <v>0</v>
      </c>
      <c r="O1282" s="2">
        <v>0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v>0</v>
      </c>
      <c r="W1282" s="2">
        <v>0</v>
      </c>
      <c r="X1282" s="2">
        <v>831.9</v>
      </c>
    </row>
    <row r="1283" spans="1:24" x14ac:dyDescent="0.25">
      <c r="G1283" s="2" t="s">
        <v>2230</v>
      </c>
    </row>
    <row r="1284" spans="1:24" x14ac:dyDescent="0.25">
      <c r="A1284" s="2">
        <v>639</v>
      </c>
      <c r="B1284" s="2">
        <v>10244</v>
      </c>
      <c r="C1284" s="2" t="s">
        <v>2231</v>
      </c>
      <c r="D1284" s="2" t="s">
        <v>2232</v>
      </c>
      <c r="E1284" s="2" t="s">
        <v>2233</v>
      </c>
      <c r="F1284" s="2" t="s">
        <v>2234</v>
      </c>
      <c r="G1284" s="2">
        <v>801.9</v>
      </c>
      <c r="H1284" s="2">
        <v>0</v>
      </c>
      <c r="I1284" s="2">
        <v>0</v>
      </c>
      <c r="J1284" s="2">
        <v>0</v>
      </c>
      <c r="K1284" s="2">
        <v>0</v>
      </c>
      <c r="L1284" s="2">
        <v>0</v>
      </c>
      <c r="M1284" s="2">
        <v>30</v>
      </c>
      <c r="N1284" s="2">
        <v>0</v>
      </c>
      <c r="O1284" s="2">
        <v>0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v>0</v>
      </c>
      <c r="W1284" s="2">
        <v>0</v>
      </c>
      <c r="X1284" s="2">
        <v>831.9</v>
      </c>
    </row>
    <row r="1285" spans="1:24" x14ac:dyDescent="0.25">
      <c r="G1285" s="2" t="s">
        <v>2235</v>
      </c>
    </row>
    <row r="1286" spans="1:24" x14ac:dyDescent="0.25">
      <c r="A1286" s="2">
        <v>640</v>
      </c>
      <c r="B1286" s="2">
        <v>13633</v>
      </c>
      <c r="C1286" s="2" t="s">
        <v>2236</v>
      </c>
      <c r="D1286" s="2" t="s">
        <v>2237</v>
      </c>
      <c r="E1286" s="2" t="s">
        <v>2088</v>
      </c>
      <c r="F1286" s="2" t="s">
        <v>2238</v>
      </c>
      <c r="G1286" s="2">
        <v>801.9</v>
      </c>
      <c r="H1286" s="2">
        <v>0</v>
      </c>
      <c r="I1286" s="2">
        <v>0</v>
      </c>
      <c r="J1286" s="2">
        <v>0</v>
      </c>
      <c r="K1286" s="2">
        <v>0</v>
      </c>
      <c r="L1286" s="2">
        <v>0</v>
      </c>
      <c r="M1286" s="2">
        <v>30</v>
      </c>
      <c r="N1286" s="2">
        <v>0</v>
      </c>
      <c r="O1286" s="2">
        <v>0</v>
      </c>
      <c r="P1286" s="2">
        <v>0</v>
      </c>
      <c r="Q1286" s="2">
        <v>0</v>
      </c>
      <c r="R1286" s="2">
        <v>0</v>
      </c>
      <c r="S1286" s="2">
        <v>0</v>
      </c>
      <c r="T1286" s="2">
        <v>0</v>
      </c>
      <c r="U1286" s="2">
        <v>0</v>
      </c>
      <c r="W1286" s="2">
        <v>0</v>
      </c>
      <c r="X1286" s="2">
        <v>831.9</v>
      </c>
    </row>
    <row r="1287" spans="1:24" x14ac:dyDescent="0.25">
      <c r="G1287" s="2" t="s">
        <v>2239</v>
      </c>
    </row>
    <row r="1288" spans="1:24" x14ac:dyDescent="0.25">
      <c r="A1288" s="2">
        <v>641</v>
      </c>
      <c r="B1288" s="2">
        <v>9207</v>
      </c>
      <c r="C1288" s="2" t="s">
        <v>2240</v>
      </c>
      <c r="D1288" s="2" t="s">
        <v>89</v>
      </c>
      <c r="E1288" s="2" t="s">
        <v>103</v>
      </c>
      <c r="F1288" s="2" t="s">
        <v>2241</v>
      </c>
      <c r="G1288" s="2">
        <v>831.6</v>
      </c>
      <c r="H1288" s="2">
        <v>0</v>
      </c>
      <c r="I1288" s="2">
        <v>0</v>
      </c>
      <c r="J1288" s="2">
        <v>0</v>
      </c>
      <c r="K1288" s="2">
        <v>0</v>
      </c>
      <c r="L1288" s="2">
        <v>0</v>
      </c>
      <c r="M1288" s="2">
        <v>0</v>
      </c>
      <c r="N1288" s="2">
        <v>0</v>
      </c>
      <c r="O1288" s="2">
        <v>0</v>
      </c>
      <c r="P1288" s="2">
        <v>0</v>
      </c>
      <c r="Q1288" s="2">
        <v>0</v>
      </c>
      <c r="R1288" s="2">
        <v>0</v>
      </c>
      <c r="S1288" s="2">
        <v>0</v>
      </c>
      <c r="T1288" s="2">
        <v>0</v>
      </c>
      <c r="U1288" s="2">
        <v>0</v>
      </c>
      <c r="W1288" s="2">
        <v>0</v>
      </c>
      <c r="X1288" s="2">
        <v>831.6</v>
      </c>
    </row>
    <row r="1289" spans="1:24" x14ac:dyDescent="0.25">
      <c r="G1289" s="2" t="s">
        <v>2242</v>
      </c>
    </row>
    <row r="1290" spans="1:24" x14ac:dyDescent="0.25">
      <c r="A1290" s="2">
        <v>642</v>
      </c>
      <c r="B1290" s="2">
        <v>11108</v>
      </c>
      <c r="C1290" s="2" t="s">
        <v>2243</v>
      </c>
      <c r="D1290" s="2" t="s">
        <v>113</v>
      </c>
      <c r="E1290" s="2" t="s">
        <v>133</v>
      </c>
      <c r="F1290" s="2" t="s">
        <v>2244</v>
      </c>
      <c r="G1290" s="2">
        <v>831.6</v>
      </c>
      <c r="H1290" s="2">
        <v>0</v>
      </c>
      <c r="I1290" s="2">
        <v>0</v>
      </c>
      <c r="J1290" s="2">
        <v>0</v>
      </c>
      <c r="K1290" s="2">
        <v>0</v>
      </c>
      <c r="L1290" s="2">
        <v>0</v>
      </c>
      <c r="M1290" s="2">
        <v>0</v>
      </c>
      <c r="N1290" s="2">
        <v>0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v>0</v>
      </c>
      <c r="W1290" s="2">
        <v>0</v>
      </c>
      <c r="X1290" s="2">
        <v>831.6</v>
      </c>
    </row>
    <row r="1291" spans="1:24" x14ac:dyDescent="0.25">
      <c r="G1291" s="2" t="s">
        <v>2245</v>
      </c>
    </row>
    <row r="1292" spans="1:24" x14ac:dyDescent="0.25">
      <c r="A1292" s="2">
        <v>643</v>
      </c>
      <c r="B1292" s="2">
        <v>15377</v>
      </c>
      <c r="C1292" s="2" t="s">
        <v>2246</v>
      </c>
      <c r="D1292" s="2" t="s">
        <v>2247</v>
      </c>
      <c r="E1292" s="2" t="s">
        <v>78</v>
      </c>
      <c r="F1292" s="2" t="s">
        <v>2248</v>
      </c>
      <c r="G1292" s="2">
        <v>831.6</v>
      </c>
      <c r="H1292" s="2">
        <v>0</v>
      </c>
      <c r="I1292" s="2">
        <v>0</v>
      </c>
      <c r="J1292" s="2">
        <v>0</v>
      </c>
      <c r="K1292" s="2">
        <v>0</v>
      </c>
      <c r="L1292" s="2">
        <v>0</v>
      </c>
      <c r="M1292" s="2">
        <v>0</v>
      </c>
      <c r="N1292" s="2">
        <v>0</v>
      </c>
      <c r="O1292" s="2">
        <v>0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v>0</v>
      </c>
      <c r="W1292" s="2">
        <v>1</v>
      </c>
      <c r="X1292" s="2">
        <v>831.6</v>
      </c>
    </row>
    <row r="1293" spans="1:24" x14ac:dyDescent="0.25">
      <c r="G1293" s="2" t="s">
        <v>2249</v>
      </c>
    </row>
    <row r="1294" spans="1:24" x14ac:dyDescent="0.25">
      <c r="A1294" s="2">
        <v>644</v>
      </c>
      <c r="B1294" s="2">
        <v>1107</v>
      </c>
      <c r="C1294" s="2" t="s">
        <v>20</v>
      </c>
      <c r="D1294" s="2" t="s">
        <v>1242</v>
      </c>
      <c r="E1294" s="2" t="s">
        <v>567</v>
      </c>
      <c r="F1294" s="2" t="s">
        <v>2250</v>
      </c>
      <c r="G1294" s="2">
        <v>831.6</v>
      </c>
      <c r="H1294" s="2">
        <v>0</v>
      </c>
      <c r="I1294" s="2">
        <v>0</v>
      </c>
      <c r="J1294" s="2">
        <v>0</v>
      </c>
      <c r="K1294" s="2">
        <v>0</v>
      </c>
      <c r="L1294" s="2">
        <v>0</v>
      </c>
      <c r="M1294" s="2">
        <v>0</v>
      </c>
      <c r="N1294" s="2">
        <v>0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v>0</v>
      </c>
      <c r="W1294" s="2">
        <v>0</v>
      </c>
      <c r="X1294" s="2">
        <v>831.6</v>
      </c>
    </row>
    <row r="1295" spans="1:24" x14ac:dyDescent="0.25">
      <c r="G1295" s="2" t="s">
        <v>2251</v>
      </c>
    </row>
    <row r="1296" spans="1:24" x14ac:dyDescent="0.25">
      <c r="A1296" s="2">
        <v>645</v>
      </c>
      <c r="B1296" s="2">
        <v>9719</v>
      </c>
      <c r="C1296" s="2" t="s">
        <v>2252</v>
      </c>
      <c r="D1296" s="2" t="s">
        <v>1636</v>
      </c>
      <c r="E1296" s="2" t="s">
        <v>148</v>
      </c>
      <c r="F1296" s="2" t="s">
        <v>2253</v>
      </c>
      <c r="G1296" s="2">
        <v>800.8</v>
      </c>
      <c r="H1296" s="2">
        <v>0</v>
      </c>
      <c r="I1296" s="2">
        <v>0</v>
      </c>
      <c r="J1296" s="2">
        <v>0</v>
      </c>
      <c r="K1296" s="2">
        <v>0</v>
      </c>
      <c r="L1296" s="2">
        <v>0</v>
      </c>
      <c r="M1296" s="2">
        <v>30</v>
      </c>
      <c r="N1296" s="2">
        <v>0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v>0</v>
      </c>
      <c r="W1296" s="2">
        <v>0</v>
      </c>
      <c r="X1296" s="2">
        <v>830.8</v>
      </c>
    </row>
    <row r="1297" spans="1:24" x14ac:dyDescent="0.25">
      <c r="G1297" s="2" t="s">
        <v>2254</v>
      </c>
    </row>
    <row r="1298" spans="1:24" x14ac:dyDescent="0.25">
      <c r="A1298" s="2">
        <v>646</v>
      </c>
      <c r="B1298" s="2">
        <v>8140</v>
      </c>
      <c r="C1298" s="2" t="s">
        <v>2255</v>
      </c>
      <c r="D1298" s="2" t="s">
        <v>208</v>
      </c>
      <c r="E1298" s="2" t="s">
        <v>39</v>
      </c>
      <c r="F1298" s="2" t="s">
        <v>2256</v>
      </c>
      <c r="G1298" s="2">
        <v>800.8</v>
      </c>
      <c r="H1298" s="2">
        <v>0</v>
      </c>
      <c r="I1298" s="2">
        <v>0</v>
      </c>
      <c r="J1298" s="2">
        <v>0</v>
      </c>
      <c r="K1298" s="2">
        <v>0</v>
      </c>
      <c r="L1298" s="2">
        <v>0</v>
      </c>
      <c r="M1298" s="2">
        <v>30</v>
      </c>
      <c r="N1298" s="2">
        <v>0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  <c r="U1298" s="2">
        <v>0</v>
      </c>
      <c r="W1298" s="2">
        <v>0</v>
      </c>
      <c r="X1298" s="2">
        <v>830.8</v>
      </c>
    </row>
    <row r="1299" spans="1:24" x14ac:dyDescent="0.25">
      <c r="G1299" s="2" t="s">
        <v>2257</v>
      </c>
    </row>
    <row r="1300" spans="1:24" x14ac:dyDescent="0.25">
      <c r="A1300" s="2">
        <v>647</v>
      </c>
      <c r="B1300" s="2">
        <v>2332</v>
      </c>
      <c r="C1300" s="2" t="s">
        <v>2258</v>
      </c>
      <c r="D1300" s="2" t="s">
        <v>79</v>
      </c>
      <c r="E1300" s="2" t="s">
        <v>90</v>
      </c>
      <c r="F1300" s="2" t="s">
        <v>2259</v>
      </c>
      <c r="G1300" s="2">
        <v>800.8</v>
      </c>
      <c r="H1300" s="2">
        <v>0</v>
      </c>
      <c r="I1300" s="2">
        <v>0</v>
      </c>
      <c r="J1300" s="2">
        <v>0</v>
      </c>
      <c r="K1300" s="2">
        <v>0</v>
      </c>
      <c r="L1300" s="2">
        <v>0</v>
      </c>
      <c r="M1300" s="2">
        <v>30</v>
      </c>
      <c r="N1300" s="2">
        <v>0</v>
      </c>
      <c r="O1300" s="2">
        <v>0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v>0</v>
      </c>
      <c r="W1300" s="2">
        <v>0</v>
      </c>
      <c r="X1300" s="2">
        <v>830.8</v>
      </c>
    </row>
    <row r="1301" spans="1:24" x14ac:dyDescent="0.25">
      <c r="G1301" s="2" t="s">
        <v>2260</v>
      </c>
    </row>
    <row r="1302" spans="1:24" x14ac:dyDescent="0.25">
      <c r="A1302" s="2">
        <v>648</v>
      </c>
      <c r="B1302" s="2">
        <v>9736</v>
      </c>
      <c r="C1302" s="2" t="s">
        <v>2261</v>
      </c>
      <c r="D1302" s="2" t="s">
        <v>2262</v>
      </c>
      <c r="E1302" s="2" t="s">
        <v>2263</v>
      </c>
      <c r="F1302" s="2" t="s">
        <v>2264</v>
      </c>
      <c r="G1302" s="2">
        <v>800.8</v>
      </c>
      <c r="H1302" s="2">
        <v>0</v>
      </c>
      <c r="I1302" s="2">
        <v>0</v>
      </c>
      <c r="J1302" s="2">
        <v>0</v>
      </c>
      <c r="K1302" s="2">
        <v>0</v>
      </c>
      <c r="L1302" s="2">
        <v>0</v>
      </c>
      <c r="M1302" s="2">
        <v>30</v>
      </c>
      <c r="N1302" s="2">
        <v>0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v>0</v>
      </c>
      <c r="W1302" s="2">
        <v>0</v>
      </c>
      <c r="X1302" s="2">
        <v>830.8</v>
      </c>
    </row>
    <row r="1303" spans="1:24" x14ac:dyDescent="0.25">
      <c r="G1303" s="2" t="s">
        <v>2265</v>
      </c>
    </row>
    <row r="1304" spans="1:24" x14ac:dyDescent="0.25">
      <c r="A1304" s="2">
        <v>649</v>
      </c>
      <c r="B1304" s="2">
        <v>4891</v>
      </c>
      <c r="C1304" s="2" t="s">
        <v>2266</v>
      </c>
      <c r="D1304" s="2" t="s">
        <v>1125</v>
      </c>
      <c r="E1304" s="2" t="s">
        <v>144</v>
      </c>
      <c r="F1304" s="2" t="s">
        <v>2267</v>
      </c>
      <c r="G1304" s="2">
        <v>830.5</v>
      </c>
      <c r="H1304" s="2">
        <v>0</v>
      </c>
      <c r="I1304" s="2">
        <v>0</v>
      </c>
      <c r="J1304" s="2">
        <v>0</v>
      </c>
      <c r="K1304" s="2">
        <v>0</v>
      </c>
      <c r="L1304" s="2">
        <v>0</v>
      </c>
      <c r="M1304" s="2">
        <v>0</v>
      </c>
      <c r="N1304" s="2">
        <v>0</v>
      </c>
      <c r="O1304" s="2">
        <v>0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v>0</v>
      </c>
      <c r="W1304" s="2">
        <v>0</v>
      </c>
      <c r="X1304" s="2">
        <v>830.5</v>
      </c>
    </row>
    <row r="1305" spans="1:24" x14ac:dyDescent="0.25">
      <c r="G1305" s="2" t="s">
        <v>2268</v>
      </c>
    </row>
    <row r="1306" spans="1:24" x14ac:dyDescent="0.25">
      <c r="A1306" s="2">
        <v>650</v>
      </c>
      <c r="B1306" s="2">
        <v>14422</v>
      </c>
      <c r="C1306" s="2" t="s">
        <v>2269</v>
      </c>
      <c r="D1306" s="2" t="s">
        <v>1943</v>
      </c>
      <c r="E1306" s="2" t="s">
        <v>39</v>
      </c>
      <c r="F1306" s="2" t="s">
        <v>2270</v>
      </c>
      <c r="G1306" s="2">
        <v>830.5</v>
      </c>
      <c r="H1306" s="2">
        <v>0</v>
      </c>
      <c r="I1306" s="2">
        <v>0</v>
      </c>
      <c r="J1306" s="2">
        <v>0</v>
      </c>
      <c r="K1306" s="2">
        <v>0</v>
      </c>
      <c r="L1306" s="2">
        <v>0</v>
      </c>
      <c r="M1306" s="2">
        <v>0</v>
      </c>
      <c r="N1306" s="2">
        <v>0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v>0</v>
      </c>
      <c r="W1306" s="2">
        <v>0</v>
      </c>
      <c r="X1306" s="2">
        <v>830.5</v>
      </c>
    </row>
    <row r="1307" spans="1:24" x14ac:dyDescent="0.25">
      <c r="G1307" s="2" t="s">
        <v>2271</v>
      </c>
    </row>
    <row r="1308" spans="1:24" x14ac:dyDescent="0.25">
      <c r="A1308" s="2">
        <v>651</v>
      </c>
      <c r="B1308" s="2">
        <v>12158</v>
      </c>
      <c r="C1308" s="2" t="s">
        <v>2272</v>
      </c>
      <c r="D1308" s="2" t="s">
        <v>170</v>
      </c>
      <c r="E1308" s="2" t="s">
        <v>842</v>
      </c>
      <c r="F1308" s="2" t="s">
        <v>2273</v>
      </c>
      <c r="G1308" s="2">
        <v>830.5</v>
      </c>
      <c r="H1308" s="2">
        <v>0</v>
      </c>
      <c r="I1308" s="2">
        <v>0</v>
      </c>
      <c r="J1308" s="2">
        <v>0</v>
      </c>
      <c r="K1308" s="2">
        <v>0</v>
      </c>
      <c r="L1308" s="2">
        <v>0</v>
      </c>
      <c r="M1308" s="2">
        <v>0</v>
      </c>
      <c r="N1308" s="2">
        <v>0</v>
      </c>
      <c r="O1308" s="2">
        <v>0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v>0</v>
      </c>
      <c r="W1308" s="2">
        <v>0</v>
      </c>
      <c r="X1308" s="2">
        <v>830.5</v>
      </c>
    </row>
    <row r="1309" spans="1:24" x14ac:dyDescent="0.25">
      <c r="G1309" s="2" t="s">
        <v>2274</v>
      </c>
    </row>
    <row r="1310" spans="1:24" x14ac:dyDescent="0.25">
      <c r="A1310" s="2">
        <v>652</v>
      </c>
      <c r="B1310" s="2">
        <v>11842</v>
      </c>
      <c r="C1310" s="2" t="s">
        <v>2275</v>
      </c>
      <c r="D1310" s="2" t="s">
        <v>2276</v>
      </c>
      <c r="E1310" s="2" t="s">
        <v>39</v>
      </c>
      <c r="F1310" s="2" t="s">
        <v>2277</v>
      </c>
      <c r="G1310" s="2">
        <v>830.5</v>
      </c>
      <c r="H1310" s="2">
        <v>0</v>
      </c>
      <c r="I1310" s="2">
        <v>0</v>
      </c>
      <c r="J1310" s="2">
        <v>0</v>
      </c>
      <c r="K1310" s="2">
        <v>0</v>
      </c>
      <c r="L1310" s="2">
        <v>0</v>
      </c>
      <c r="M1310" s="2">
        <v>0</v>
      </c>
      <c r="N1310" s="2">
        <v>0</v>
      </c>
      <c r="O1310" s="2">
        <v>0</v>
      </c>
      <c r="P1310" s="2">
        <v>0</v>
      </c>
      <c r="Q1310" s="2">
        <v>0</v>
      </c>
      <c r="R1310" s="2">
        <v>0</v>
      </c>
      <c r="S1310" s="2">
        <v>0</v>
      </c>
      <c r="T1310" s="2">
        <v>0</v>
      </c>
      <c r="U1310" s="2">
        <v>0</v>
      </c>
      <c r="W1310" s="2">
        <v>0</v>
      </c>
      <c r="X1310" s="2">
        <v>830.5</v>
      </c>
    </row>
    <row r="1311" spans="1:24" x14ac:dyDescent="0.25">
      <c r="G1311" s="2" t="s">
        <v>2278</v>
      </c>
    </row>
    <row r="1312" spans="1:24" x14ac:dyDescent="0.25">
      <c r="A1312" s="2">
        <v>653</v>
      </c>
      <c r="B1312" s="2">
        <v>10639</v>
      </c>
      <c r="C1312" s="2" t="s">
        <v>2279</v>
      </c>
      <c r="D1312" s="2" t="s">
        <v>107</v>
      </c>
      <c r="E1312" s="2" t="s">
        <v>62</v>
      </c>
      <c r="F1312" s="2" t="s">
        <v>2280</v>
      </c>
      <c r="G1312" s="2">
        <v>770</v>
      </c>
      <c r="H1312" s="2">
        <v>0</v>
      </c>
      <c r="I1312" s="2">
        <v>0</v>
      </c>
      <c r="J1312" s="2">
        <v>0</v>
      </c>
      <c r="K1312" s="2">
        <v>0</v>
      </c>
      <c r="L1312" s="2">
        <v>0</v>
      </c>
      <c r="M1312" s="2">
        <v>30</v>
      </c>
      <c r="N1312" s="2">
        <v>0</v>
      </c>
      <c r="O1312" s="2">
        <v>30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v>0</v>
      </c>
      <c r="W1312" s="2">
        <v>0</v>
      </c>
      <c r="X1312" s="2">
        <v>830</v>
      </c>
    </row>
    <row r="1313" spans="1:24" x14ac:dyDescent="0.25">
      <c r="G1313" s="2" t="s">
        <v>2281</v>
      </c>
    </row>
    <row r="1314" spans="1:24" x14ac:dyDescent="0.25">
      <c r="A1314" s="2">
        <v>654</v>
      </c>
      <c r="B1314" s="2">
        <v>6613</v>
      </c>
      <c r="C1314" s="2" t="s">
        <v>2282</v>
      </c>
      <c r="D1314" s="2" t="s">
        <v>248</v>
      </c>
      <c r="E1314" s="2" t="s">
        <v>39</v>
      </c>
      <c r="F1314" s="2" t="s">
        <v>2283</v>
      </c>
      <c r="G1314" s="2">
        <v>779.9</v>
      </c>
      <c r="H1314" s="2">
        <v>0</v>
      </c>
      <c r="I1314" s="2">
        <v>0</v>
      </c>
      <c r="J1314" s="2">
        <v>0</v>
      </c>
      <c r="K1314" s="2">
        <v>0</v>
      </c>
      <c r="L1314" s="2">
        <v>0</v>
      </c>
      <c r="M1314" s="2">
        <v>50</v>
      </c>
      <c r="N1314" s="2">
        <v>0</v>
      </c>
      <c r="O1314" s="2">
        <v>0</v>
      </c>
      <c r="P1314" s="2">
        <v>0</v>
      </c>
      <c r="Q1314" s="2">
        <v>0</v>
      </c>
      <c r="R1314" s="2">
        <v>0</v>
      </c>
      <c r="S1314" s="2">
        <v>0</v>
      </c>
      <c r="T1314" s="2">
        <v>0</v>
      </c>
      <c r="U1314" s="2">
        <v>0</v>
      </c>
      <c r="W1314" s="2">
        <v>1</v>
      </c>
      <c r="X1314" s="2">
        <v>829.9</v>
      </c>
    </row>
    <row r="1315" spans="1:24" x14ac:dyDescent="0.25">
      <c r="G1315" s="2" t="s">
        <v>2284</v>
      </c>
    </row>
    <row r="1316" spans="1:24" x14ac:dyDescent="0.25">
      <c r="A1316" s="2">
        <v>655</v>
      </c>
      <c r="B1316" s="2">
        <v>12018</v>
      </c>
      <c r="C1316" s="2" t="s">
        <v>2285</v>
      </c>
      <c r="D1316" s="2" t="s">
        <v>395</v>
      </c>
      <c r="E1316" s="2" t="s">
        <v>51</v>
      </c>
      <c r="F1316" s="2" t="s">
        <v>2286</v>
      </c>
      <c r="G1316" s="2">
        <v>799.7</v>
      </c>
      <c r="H1316" s="2">
        <v>0</v>
      </c>
      <c r="I1316" s="2">
        <v>0</v>
      </c>
      <c r="J1316" s="2">
        <v>0</v>
      </c>
      <c r="K1316" s="2">
        <v>0</v>
      </c>
      <c r="L1316" s="2">
        <v>0</v>
      </c>
      <c r="M1316" s="2">
        <v>30</v>
      </c>
      <c r="N1316" s="2">
        <v>0</v>
      </c>
      <c r="O1316" s="2">
        <v>0</v>
      </c>
      <c r="P1316" s="2">
        <v>0</v>
      </c>
      <c r="Q1316" s="2">
        <v>0</v>
      </c>
      <c r="R1316" s="2">
        <v>0</v>
      </c>
      <c r="S1316" s="2">
        <v>0</v>
      </c>
      <c r="T1316" s="2">
        <v>0</v>
      </c>
      <c r="U1316" s="2">
        <v>0</v>
      </c>
      <c r="W1316" s="2">
        <v>0</v>
      </c>
      <c r="X1316" s="2">
        <v>829.7</v>
      </c>
    </row>
    <row r="1317" spans="1:24" x14ac:dyDescent="0.25">
      <c r="G1317" s="2" t="s">
        <v>2287</v>
      </c>
    </row>
    <row r="1318" spans="1:24" x14ac:dyDescent="0.25">
      <c r="A1318" s="2">
        <v>656</v>
      </c>
      <c r="B1318" s="2">
        <v>2761</v>
      </c>
      <c r="C1318" s="2" t="s">
        <v>2288</v>
      </c>
      <c r="D1318" s="2" t="s">
        <v>1403</v>
      </c>
      <c r="E1318" s="2" t="s">
        <v>103</v>
      </c>
      <c r="F1318" s="2" t="s">
        <v>2289</v>
      </c>
      <c r="G1318" s="2">
        <v>799.7</v>
      </c>
      <c r="H1318" s="2">
        <v>0</v>
      </c>
      <c r="I1318" s="2">
        <v>0</v>
      </c>
      <c r="J1318" s="2">
        <v>0</v>
      </c>
      <c r="K1318" s="2">
        <v>0</v>
      </c>
      <c r="L1318" s="2">
        <v>0</v>
      </c>
      <c r="M1318" s="2">
        <v>30</v>
      </c>
      <c r="N1318" s="2">
        <v>0</v>
      </c>
      <c r="O1318" s="2">
        <v>0</v>
      </c>
      <c r="P1318" s="2">
        <v>0</v>
      </c>
      <c r="Q1318" s="2">
        <v>0</v>
      </c>
      <c r="R1318" s="2">
        <v>0</v>
      </c>
      <c r="S1318" s="2">
        <v>0</v>
      </c>
      <c r="T1318" s="2">
        <v>0</v>
      </c>
      <c r="U1318" s="2">
        <v>0</v>
      </c>
      <c r="W1318" s="2">
        <v>0</v>
      </c>
      <c r="X1318" s="2">
        <v>829.7</v>
      </c>
    </row>
    <row r="1319" spans="1:24" x14ac:dyDescent="0.25">
      <c r="G1319" s="2" t="s">
        <v>2290</v>
      </c>
    </row>
    <row r="1320" spans="1:24" x14ac:dyDescent="0.25">
      <c r="A1320" s="2">
        <v>657</v>
      </c>
      <c r="B1320" s="2">
        <v>9298</v>
      </c>
      <c r="C1320" s="2" t="s">
        <v>2291</v>
      </c>
      <c r="D1320" s="2" t="s">
        <v>67</v>
      </c>
      <c r="E1320" s="2" t="s">
        <v>126</v>
      </c>
      <c r="F1320" s="2" t="s">
        <v>2292</v>
      </c>
      <c r="G1320" s="2">
        <v>799.7</v>
      </c>
      <c r="H1320" s="2">
        <v>0</v>
      </c>
      <c r="I1320" s="2">
        <v>0</v>
      </c>
      <c r="J1320" s="2">
        <v>0</v>
      </c>
      <c r="K1320" s="2">
        <v>0</v>
      </c>
      <c r="L1320" s="2">
        <v>0</v>
      </c>
      <c r="M1320" s="2">
        <v>30</v>
      </c>
      <c r="N1320" s="2">
        <v>0</v>
      </c>
      <c r="O1320" s="2">
        <v>0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v>0</v>
      </c>
      <c r="W1320" s="2">
        <v>0</v>
      </c>
      <c r="X1320" s="2">
        <v>829.7</v>
      </c>
    </row>
    <row r="1321" spans="1:24" x14ac:dyDescent="0.25">
      <c r="G1321" s="2" t="s">
        <v>2293</v>
      </c>
    </row>
    <row r="1322" spans="1:24" x14ac:dyDescent="0.25">
      <c r="A1322" s="2">
        <v>658</v>
      </c>
      <c r="B1322" s="2">
        <v>7856</v>
      </c>
      <c r="C1322" s="2" t="s">
        <v>2294</v>
      </c>
      <c r="D1322" s="2" t="s">
        <v>112</v>
      </c>
      <c r="E1322" s="2" t="s">
        <v>199</v>
      </c>
      <c r="F1322" s="2" t="s">
        <v>2295</v>
      </c>
      <c r="G1322" s="2">
        <v>799.7</v>
      </c>
      <c r="H1322" s="2">
        <v>0</v>
      </c>
      <c r="I1322" s="2">
        <v>0</v>
      </c>
      <c r="J1322" s="2">
        <v>0</v>
      </c>
      <c r="K1322" s="2">
        <v>0</v>
      </c>
      <c r="L1322" s="2">
        <v>0</v>
      </c>
      <c r="M1322" s="2">
        <v>30</v>
      </c>
      <c r="N1322" s="2">
        <v>0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v>0</v>
      </c>
      <c r="W1322" s="2">
        <v>0</v>
      </c>
      <c r="X1322" s="2">
        <v>829.7</v>
      </c>
    </row>
    <row r="1323" spans="1:24" x14ac:dyDescent="0.25">
      <c r="G1323" s="2" t="s">
        <v>2296</v>
      </c>
    </row>
    <row r="1324" spans="1:24" x14ac:dyDescent="0.25">
      <c r="A1324" s="2">
        <v>659</v>
      </c>
      <c r="B1324" s="2">
        <v>5436</v>
      </c>
      <c r="C1324" s="2" t="s">
        <v>2297</v>
      </c>
      <c r="D1324" s="2" t="s">
        <v>188</v>
      </c>
      <c r="E1324" s="2" t="s">
        <v>236</v>
      </c>
      <c r="F1324" s="2" t="s">
        <v>2298</v>
      </c>
      <c r="G1324" s="2">
        <v>799.7</v>
      </c>
      <c r="H1324" s="2">
        <v>0</v>
      </c>
      <c r="I1324" s="2">
        <v>0</v>
      </c>
      <c r="J1324" s="2">
        <v>0</v>
      </c>
      <c r="K1324" s="2">
        <v>0</v>
      </c>
      <c r="L1324" s="2">
        <v>0</v>
      </c>
      <c r="M1324" s="2">
        <v>30</v>
      </c>
      <c r="N1324" s="2">
        <v>0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v>0</v>
      </c>
      <c r="W1324" s="2">
        <v>0</v>
      </c>
      <c r="X1324" s="2">
        <v>829.7</v>
      </c>
    </row>
    <row r="1325" spans="1:24" x14ac:dyDescent="0.25">
      <c r="G1325" s="2" t="s">
        <v>2299</v>
      </c>
    </row>
    <row r="1326" spans="1:24" x14ac:dyDescent="0.25">
      <c r="A1326" s="2">
        <v>660</v>
      </c>
      <c r="B1326" s="2">
        <v>1829</v>
      </c>
      <c r="C1326" s="2" t="s">
        <v>2300</v>
      </c>
      <c r="D1326" s="2" t="s">
        <v>294</v>
      </c>
      <c r="E1326" s="2" t="s">
        <v>39</v>
      </c>
      <c r="F1326" s="2" t="s">
        <v>2301</v>
      </c>
      <c r="G1326" s="2">
        <v>829.4</v>
      </c>
      <c r="H1326" s="2">
        <v>0</v>
      </c>
      <c r="I1326" s="2">
        <v>0</v>
      </c>
      <c r="J1326" s="2">
        <v>0</v>
      </c>
      <c r="K1326" s="2">
        <v>0</v>
      </c>
      <c r="L1326" s="2">
        <v>0</v>
      </c>
      <c r="M1326" s="2">
        <v>0</v>
      </c>
      <c r="N1326" s="2">
        <v>0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v>0</v>
      </c>
      <c r="W1326" s="2">
        <v>0</v>
      </c>
      <c r="X1326" s="2">
        <v>829.4</v>
      </c>
    </row>
    <row r="1327" spans="1:24" x14ac:dyDescent="0.25">
      <c r="G1327" s="2" t="s">
        <v>2302</v>
      </c>
    </row>
    <row r="1328" spans="1:24" x14ac:dyDescent="0.25">
      <c r="A1328" s="2">
        <v>661</v>
      </c>
      <c r="B1328" s="2">
        <v>12816</v>
      </c>
      <c r="C1328" s="2" t="s">
        <v>2303</v>
      </c>
      <c r="D1328" s="2" t="s">
        <v>73</v>
      </c>
      <c r="E1328" s="2" t="s">
        <v>138</v>
      </c>
      <c r="F1328" s="2" t="s">
        <v>2304</v>
      </c>
      <c r="G1328" s="2">
        <v>829.4</v>
      </c>
      <c r="H1328" s="2">
        <v>0</v>
      </c>
      <c r="I1328" s="2">
        <v>0</v>
      </c>
      <c r="J1328" s="2">
        <v>0</v>
      </c>
      <c r="K1328" s="2">
        <v>0</v>
      </c>
      <c r="L1328" s="2">
        <v>0</v>
      </c>
      <c r="M1328" s="2">
        <v>0</v>
      </c>
      <c r="N1328" s="2">
        <v>0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v>0</v>
      </c>
      <c r="W1328" s="2">
        <v>0</v>
      </c>
      <c r="X1328" s="2">
        <v>829.4</v>
      </c>
    </row>
    <row r="1329" spans="1:24" x14ac:dyDescent="0.25">
      <c r="G1329" s="2" t="s">
        <v>2305</v>
      </c>
    </row>
    <row r="1330" spans="1:24" x14ac:dyDescent="0.25">
      <c r="A1330" s="2">
        <v>662</v>
      </c>
      <c r="B1330" s="2">
        <v>15545</v>
      </c>
      <c r="C1330" s="2" t="s">
        <v>2306</v>
      </c>
      <c r="D1330" s="2" t="s">
        <v>178</v>
      </c>
      <c r="E1330" s="2" t="s">
        <v>318</v>
      </c>
      <c r="F1330" s="2" t="s">
        <v>2307</v>
      </c>
      <c r="G1330" s="2">
        <v>768.9</v>
      </c>
      <c r="H1330" s="2">
        <v>0</v>
      </c>
      <c r="I1330" s="2">
        <v>0</v>
      </c>
      <c r="J1330" s="2">
        <v>0</v>
      </c>
      <c r="K1330" s="2">
        <v>0</v>
      </c>
      <c r="L1330" s="2">
        <v>0</v>
      </c>
      <c r="M1330" s="2">
        <v>30</v>
      </c>
      <c r="N1330" s="2">
        <v>30</v>
      </c>
      <c r="O1330" s="2">
        <v>0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v>0</v>
      </c>
      <c r="W1330" s="2">
        <v>0</v>
      </c>
      <c r="X1330" s="2">
        <v>828.9</v>
      </c>
    </row>
    <row r="1331" spans="1:24" x14ac:dyDescent="0.25">
      <c r="G1331" s="2" t="s">
        <v>2308</v>
      </c>
    </row>
    <row r="1332" spans="1:24" x14ac:dyDescent="0.25">
      <c r="A1332" s="2">
        <v>663</v>
      </c>
      <c r="B1332" s="2">
        <v>14731</v>
      </c>
      <c r="C1332" s="2" t="s">
        <v>2309</v>
      </c>
      <c r="D1332" s="2" t="s">
        <v>2310</v>
      </c>
      <c r="E1332" s="2" t="s">
        <v>1561</v>
      </c>
      <c r="F1332" s="2" t="s">
        <v>2311</v>
      </c>
      <c r="G1332" s="2">
        <v>798.6</v>
      </c>
      <c r="H1332" s="2">
        <v>0</v>
      </c>
      <c r="I1332" s="2">
        <v>0</v>
      </c>
      <c r="J1332" s="2">
        <v>0</v>
      </c>
      <c r="K1332" s="2">
        <v>0</v>
      </c>
      <c r="L1332" s="2">
        <v>0</v>
      </c>
      <c r="M1332" s="2">
        <v>30</v>
      </c>
      <c r="N1332" s="2">
        <v>0</v>
      </c>
      <c r="O1332" s="2">
        <v>0</v>
      </c>
      <c r="P1332" s="2">
        <v>0</v>
      </c>
      <c r="Q1332" s="2">
        <v>0</v>
      </c>
      <c r="R1332" s="2">
        <v>0</v>
      </c>
      <c r="S1332" s="2">
        <v>0</v>
      </c>
      <c r="T1332" s="2">
        <v>0</v>
      </c>
      <c r="U1332" s="2">
        <v>0</v>
      </c>
      <c r="W1332" s="2">
        <v>0</v>
      </c>
      <c r="X1332" s="2">
        <v>828.6</v>
      </c>
    </row>
    <row r="1333" spans="1:24" x14ac:dyDescent="0.25">
      <c r="G1333" s="2" t="s">
        <v>2312</v>
      </c>
    </row>
    <row r="1334" spans="1:24" x14ac:dyDescent="0.25">
      <c r="A1334" s="2">
        <v>664</v>
      </c>
      <c r="B1334" s="2">
        <v>15285</v>
      </c>
      <c r="C1334" s="2" t="s">
        <v>2313</v>
      </c>
      <c r="D1334" s="2" t="s">
        <v>112</v>
      </c>
      <c r="E1334" s="2" t="s">
        <v>16</v>
      </c>
      <c r="F1334" s="2" t="s">
        <v>2314</v>
      </c>
      <c r="G1334" s="2">
        <v>828.3</v>
      </c>
      <c r="H1334" s="2">
        <v>0</v>
      </c>
      <c r="I1334" s="2">
        <v>0</v>
      </c>
      <c r="J1334" s="2">
        <v>0</v>
      </c>
      <c r="K1334" s="2">
        <v>0</v>
      </c>
      <c r="L1334" s="2">
        <v>0</v>
      </c>
      <c r="M1334" s="2">
        <v>0</v>
      </c>
      <c r="N1334" s="2">
        <v>0</v>
      </c>
      <c r="O1334" s="2">
        <v>0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v>0</v>
      </c>
      <c r="W1334" s="2">
        <v>0</v>
      </c>
      <c r="X1334" s="2">
        <v>828.3</v>
      </c>
    </row>
    <row r="1335" spans="1:24" x14ac:dyDescent="0.25">
      <c r="G1335" s="2" t="s">
        <v>2315</v>
      </c>
    </row>
    <row r="1336" spans="1:24" x14ac:dyDescent="0.25">
      <c r="A1336" s="2">
        <v>665</v>
      </c>
      <c r="B1336" s="2">
        <v>7613</v>
      </c>
      <c r="C1336" s="2" t="s">
        <v>2316</v>
      </c>
      <c r="D1336" s="2" t="s">
        <v>346</v>
      </c>
      <c r="E1336" s="2" t="s">
        <v>2317</v>
      </c>
      <c r="F1336" s="2" t="s">
        <v>2318</v>
      </c>
      <c r="G1336" s="2">
        <v>828.3</v>
      </c>
      <c r="H1336" s="2">
        <v>0</v>
      </c>
      <c r="I1336" s="2">
        <v>0</v>
      </c>
      <c r="J1336" s="2">
        <v>0</v>
      </c>
      <c r="K1336" s="2">
        <v>0</v>
      </c>
      <c r="L1336" s="2">
        <v>0</v>
      </c>
      <c r="M1336" s="2">
        <v>0</v>
      </c>
      <c r="N1336" s="2">
        <v>0</v>
      </c>
      <c r="O1336" s="2">
        <v>0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v>0</v>
      </c>
      <c r="W1336" s="2">
        <v>0</v>
      </c>
      <c r="X1336" s="2">
        <v>828.3</v>
      </c>
    </row>
    <row r="1337" spans="1:24" x14ac:dyDescent="0.25">
      <c r="G1337" s="2" t="s">
        <v>2319</v>
      </c>
    </row>
    <row r="1338" spans="1:24" x14ac:dyDescent="0.25">
      <c r="A1338" s="2">
        <v>666</v>
      </c>
      <c r="B1338" s="2">
        <v>8087</v>
      </c>
      <c r="C1338" s="2" t="s">
        <v>2320</v>
      </c>
      <c r="D1338" s="2" t="s">
        <v>2321</v>
      </c>
      <c r="E1338" s="2" t="s">
        <v>354</v>
      </c>
      <c r="F1338" s="2" t="s">
        <v>2322</v>
      </c>
      <c r="G1338" s="2">
        <v>828.3</v>
      </c>
      <c r="H1338" s="2">
        <v>0</v>
      </c>
      <c r="I1338" s="2">
        <v>0</v>
      </c>
      <c r="J1338" s="2">
        <v>0</v>
      </c>
      <c r="K1338" s="2">
        <v>0</v>
      </c>
      <c r="L1338" s="2">
        <v>0</v>
      </c>
      <c r="M1338" s="2">
        <v>0</v>
      </c>
      <c r="N1338" s="2">
        <v>0</v>
      </c>
      <c r="O1338" s="2">
        <v>0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v>0</v>
      </c>
      <c r="W1338" s="2">
        <v>0</v>
      </c>
      <c r="X1338" s="2">
        <v>828.3</v>
      </c>
    </row>
    <row r="1339" spans="1:24" x14ac:dyDescent="0.25">
      <c r="G1339" s="2" t="s">
        <v>2323</v>
      </c>
    </row>
    <row r="1340" spans="1:24" x14ac:dyDescent="0.25">
      <c r="A1340" s="2">
        <v>667</v>
      </c>
      <c r="B1340" s="2">
        <v>4334</v>
      </c>
      <c r="C1340" s="2" t="s">
        <v>2324</v>
      </c>
      <c r="D1340" s="2" t="s">
        <v>50</v>
      </c>
      <c r="E1340" s="2" t="s">
        <v>127</v>
      </c>
      <c r="F1340" s="2" t="s">
        <v>2325</v>
      </c>
      <c r="G1340" s="2">
        <v>757.9</v>
      </c>
      <c r="H1340" s="2">
        <v>0</v>
      </c>
      <c r="I1340" s="2">
        <v>0</v>
      </c>
      <c r="J1340" s="2">
        <v>0</v>
      </c>
      <c r="K1340" s="2">
        <v>0</v>
      </c>
      <c r="L1340" s="2">
        <v>0</v>
      </c>
      <c r="M1340" s="2">
        <v>70</v>
      </c>
      <c r="N1340" s="2">
        <v>0</v>
      </c>
      <c r="O1340" s="2">
        <v>0</v>
      </c>
      <c r="P1340" s="2">
        <v>0</v>
      </c>
      <c r="Q1340" s="2">
        <v>0</v>
      </c>
      <c r="R1340" s="2">
        <v>0</v>
      </c>
      <c r="S1340" s="2">
        <v>0</v>
      </c>
      <c r="T1340" s="2">
        <v>0</v>
      </c>
      <c r="U1340" s="2">
        <v>0</v>
      </c>
      <c r="W1340" s="2">
        <v>0</v>
      </c>
      <c r="X1340" s="2">
        <v>827.9</v>
      </c>
    </row>
    <row r="1341" spans="1:24" x14ac:dyDescent="0.25">
      <c r="G1341" s="2" t="s">
        <v>2326</v>
      </c>
    </row>
    <row r="1342" spans="1:24" x14ac:dyDescent="0.25">
      <c r="A1342" s="2">
        <v>668</v>
      </c>
      <c r="B1342" s="2">
        <v>10143</v>
      </c>
      <c r="C1342" s="2" t="s">
        <v>2327</v>
      </c>
      <c r="D1342" s="2" t="s">
        <v>256</v>
      </c>
      <c r="E1342" s="2" t="s">
        <v>2328</v>
      </c>
      <c r="F1342" s="2" t="s">
        <v>2329</v>
      </c>
      <c r="G1342" s="2">
        <v>797.5</v>
      </c>
      <c r="H1342" s="2">
        <v>0</v>
      </c>
      <c r="I1342" s="2">
        <v>0</v>
      </c>
      <c r="J1342" s="2">
        <v>0</v>
      </c>
      <c r="K1342" s="2">
        <v>0</v>
      </c>
      <c r="L1342" s="2">
        <v>0</v>
      </c>
      <c r="M1342" s="2">
        <v>30</v>
      </c>
      <c r="N1342" s="2">
        <v>0</v>
      </c>
      <c r="O1342" s="2">
        <v>0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v>0</v>
      </c>
      <c r="W1342" s="2">
        <v>0</v>
      </c>
      <c r="X1342" s="2">
        <v>827.5</v>
      </c>
    </row>
    <row r="1343" spans="1:24" x14ac:dyDescent="0.25">
      <c r="G1343" s="2" t="s">
        <v>2330</v>
      </c>
    </row>
    <row r="1344" spans="1:24" x14ac:dyDescent="0.25">
      <c r="A1344" s="2">
        <v>669</v>
      </c>
      <c r="B1344" s="2">
        <v>7754</v>
      </c>
      <c r="C1344" s="2" t="s">
        <v>2331</v>
      </c>
      <c r="D1344" s="2" t="s">
        <v>98</v>
      </c>
      <c r="E1344" s="2" t="s">
        <v>51</v>
      </c>
      <c r="F1344" s="2" t="s">
        <v>2332</v>
      </c>
      <c r="G1344" s="2">
        <v>827.2</v>
      </c>
      <c r="H1344" s="2">
        <v>0</v>
      </c>
      <c r="I1344" s="2">
        <v>0</v>
      </c>
      <c r="J1344" s="2">
        <v>0</v>
      </c>
      <c r="K1344" s="2">
        <v>0</v>
      </c>
      <c r="L1344" s="2">
        <v>0</v>
      </c>
      <c r="M1344" s="2">
        <v>0</v>
      </c>
      <c r="N1344" s="2">
        <v>0</v>
      </c>
      <c r="O1344" s="2">
        <v>0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v>0</v>
      </c>
      <c r="W1344" s="2">
        <v>0</v>
      </c>
      <c r="X1344" s="2">
        <v>827.2</v>
      </c>
    </row>
    <row r="1345" spans="1:24" x14ac:dyDescent="0.25">
      <c r="G1345" s="2" t="s">
        <v>2333</v>
      </c>
    </row>
    <row r="1346" spans="1:24" x14ac:dyDescent="0.25">
      <c r="A1346" s="2">
        <v>670</v>
      </c>
      <c r="B1346" s="2">
        <v>9611</v>
      </c>
      <c r="C1346" s="2" t="s">
        <v>2334</v>
      </c>
      <c r="D1346" s="2" t="s">
        <v>687</v>
      </c>
      <c r="E1346" s="2" t="s">
        <v>2335</v>
      </c>
      <c r="F1346" s="2" t="s">
        <v>2336</v>
      </c>
      <c r="G1346" s="2">
        <v>776.6</v>
      </c>
      <c r="H1346" s="2">
        <v>0</v>
      </c>
      <c r="I1346" s="2">
        <v>0</v>
      </c>
      <c r="J1346" s="2">
        <v>0</v>
      </c>
      <c r="K1346" s="2">
        <v>0</v>
      </c>
      <c r="L1346" s="2">
        <v>0</v>
      </c>
      <c r="M1346" s="2">
        <v>50</v>
      </c>
      <c r="N1346" s="2">
        <v>0</v>
      </c>
      <c r="O1346" s="2">
        <v>0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v>0</v>
      </c>
      <c r="W1346" s="2">
        <v>0</v>
      </c>
      <c r="X1346" s="2">
        <v>826.6</v>
      </c>
    </row>
    <row r="1347" spans="1:24" x14ac:dyDescent="0.25">
      <c r="G1347" s="2" t="s">
        <v>2337</v>
      </c>
    </row>
    <row r="1348" spans="1:24" x14ac:dyDescent="0.25">
      <c r="A1348" s="2">
        <v>671</v>
      </c>
      <c r="B1348" s="2">
        <v>10413</v>
      </c>
      <c r="C1348" s="2" t="s">
        <v>2338</v>
      </c>
      <c r="D1348" s="2" t="s">
        <v>2339</v>
      </c>
      <c r="E1348" s="2" t="s">
        <v>1114</v>
      </c>
      <c r="F1348" s="2" t="s">
        <v>2340</v>
      </c>
      <c r="G1348" s="2">
        <v>796.4</v>
      </c>
      <c r="H1348" s="2">
        <v>0</v>
      </c>
      <c r="I1348" s="2">
        <v>0</v>
      </c>
      <c r="J1348" s="2">
        <v>0</v>
      </c>
      <c r="K1348" s="2">
        <v>0</v>
      </c>
      <c r="L1348" s="2">
        <v>0</v>
      </c>
      <c r="M1348" s="2">
        <v>30</v>
      </c>
      <c r="N1348" s="2">
        <v>0</v>
      </c>
      <c r="O1348" s="2">
        <v>0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v>0</v>
      </c>
      <c r="W1348" s="2">
        <v>0</v>
      </c>
      <c r="X1348" s="2">
        <v>826.4</v>
      </c>
    </row>
    <row r="1349" spans="1:24" x14ac:dyDescent="0.25">
      <c r="G1349" s="2" t="s">
        <v>2341</v>
      </c>
    </row>
    <row r="1350" spans="1:24" x14ac:dyDescent="0.25">
      <c r="A1350" s="2">
        <v>672</v>
      </c>
      <c r="B1350" s="2">
        <v>9801</v>
      </c>
      <c r="C1350" s="2" t="s">
        <v>2342</v>
      </c>
      <c r="D1350" s="2" t="s">
        <v>2343</v>
      </c>
      <c r="E1350" s="2" t="s">
        <v>374</v>
      </c>
      <c r="F1350" s="2" t="s">
        <v>2344</v>
      </c>
      <c r="G1350" s="2">
        <v>796.4</v>
      </c>
      <c r="H1350" s="2">
        <v>0</v>
      </c>
      <c r="I1350" s="2">
        <v>0</v>
      </c>
      <c r="J1350" s="2">
        <v>0</v>
      </c>
      <c r="K1350" s="2">
        <v>0</v>
      </c>
      <c r="L1350" s="2">
        <v>0</v>
      </c>
      <c r="M1350" s="2">
        <v>30</v>
      </c>
      <c r="N1350" s="2">
        <v>0</v>
      </c>
      <c r="O1350" s="2">
        <v>0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v>0</v>
      </c>
      <c r="W1350" s="2">
        <v>0</v>
      </c>
      <c r="X1350" s="2">
        <v>826.4</v>
      </c>
    </row>
    <row r="1351" spans="1:24" x14ac:dyDescent="0.25">
      <c r="G1351" s="2" t="s">
        <v>2345</v>
      </c>
    </row>
    <row r="1352" spans="1:24" x14ac:dyDescent="0.25">
      <c r="A1352" s="2">
        <v>673</v>
      </c>
      <c r="B1352" s="2">
        <v>3911</v>
      </c>
      <c r="C1352" s="2" t="s">
        <v>2346</v>
      </c>
      <c r="D1352" s="2" t="s">
        <v>231</v>
      </c>
      <c r="E1352" s="2" t="s">
        <v>194</v>
      </c>
      <c r="F1352" s="2" t="s">
        <v>2347</v>
      </c>
      <c r="G1352" s="2">
        <v>796.4</v>
      </c>
      <c r="H1352" s="2">
        <v>0</v>
      </c>
      <c r="I1352" s="2">
        <v>0</v>
      </c>
      <c r="J1352" s="2">
        <v>0</v>
      </c>
      <c r="K1352" s="2">
        <v>0</v>
      </c>
      <c r="L1352" s="2">
        <v>0</v>
      </c>
      <c r="M1352" s="2">
        <v>30</v>
      </c>
      <c r="N1352" s="2">
        <v>0</v>
      </c>
      <c r="O1352" s="2">
        <v>0</v>
      </c>
      <c r="P1352" s="2">
        <v>0</v>
      </c>
      <c r="Q1352" s="2">
        <v>0</v>
      </c>
      <c r="R1352" s="2">
        <v>0</v>
      </c>
      <c r="S1352" s="2">
        <v>0</v>
      </c>
      <c r="T1352" s="2">
        <v>0</v>
      </c>
      <c r="U1352" s="2">
        <v>0</v>
      </c>
      <c r="W1352" s="2">
        <v>0</v>
      </c>
      <c r="X1352" s="2">
        <v>826.4</v>
      </c>
    </row>
    <row r="1353" spans="1:24" x14ac:dyDescent="0.25">
      <c r="G1353" s="2" t="s">
        <v>2348</v>
      </c>
    </row>
    <row r="1354" spans="1:24" x14ac:dyDescent="0.25">
      <c r="A1354" s="2">
        <v>674</v>
      </c>
      <c r="B1354" s="2">
        <v>12798</v>
      </c>
      <c r="C1354" s="2" t="s">
        <v>2349</v>
      </c>
      <c r="D1354" s="2" t="s">
        <v>2350</v>
      </c>
      <c r="E1354" s="2" t="s">
        <v>2351</v>
      </c>
      <c r="F1354" s="2" t="s">
        <v>2352</v>
      </c>
      <c r="G1354" s="2">
        <v>796.4</v>
      </c>
      <c r="H1354" s="2">
        <v>0</v>
      </c>
      <c r="I1354" s="2">
        <v>0</v>
      </c>
      <c r="J1354" s="2">
        <v>0</v>
      </c>
      <c r="K1354" s="2">
        <v>0</v>
      </c>
      <c r="L1354" s="2">
        <v>0</v>
      </c>
      <c r="M1354" s="2">
        <v>30</v>
      </c>
      <c r="N1354" s="2">
        <v>0</v>
      </c>
      <c r="O1354" s="2">
        <v>0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v>0</v>
      </c>
      <c r="W1354" s="2">
        <v>0</v>
      </c>
      <c r="X1354" s="2">
        <v>826.4</v>
      </c>
    </row>
    <row r="1355" spans="1:24" x14ac:dyDescent="0.25">
      <c r="G1355" s="2" t="s">
        <v>2353</v>
      </c>
    </row>
    <row r="1356" spans="1:24" x14ac:dyDescent="0.25">
      <c r="A1356" s="2">
        <v>675</v>
      </c>
      <c r="B1356" s="2">
        <v>3579</v>
      </c>
      <c r="C1356" s="2" t="s">
        <v>2354</v>
      </c>
      <c r="D1356" s="2" t="s">
        <v>2237</v>
      </c>
      <c r="E1356" s="2" t="s">
        <v>2355</v>
      </c>
      <c r="F1356" s="2" t="s">
        <v>2356</v>
      </c>
      <c r="G1356" s="2">
        <v>796.4</v>
      </c>
      <c r="H1356" s="2">
        <v>0</v>
      </c>
      <c r="I1356" s="2">
        <v>0</v>
      </c>
      <c r="J1356" s="2">
        <v>0</v>
      </c>
      <c r="K1356" s="2">
        <v>0</v>
      </c>
      <c r="L1356" s="2">
        <v>0</v>
      </c>
      <c r="M1356" s="2">
        <v>30</v>
      </c>
      <c r="N1356" s="2">
        <v>0</v>
      </c>
      <c r="O1356" s="2">
        <v>0</v>
      </c>
      <c r="P1356" s="2">
        <v>0</v>
      </c>
      <c r="Q1356" s="2">
        <v>0</v>
      </c>
      <c r="R1356" s="2">
        <v>0</v>
      </c>
      <c r="S1356" s="2">
        <v>0</v>
      </c>
      <c r="T1356" s="2">
        <v>0</v>
      </c>
      <c r="U1356" s="2">
        <v>0</v>
      </c>
      <c r="W1356" s="2">
        <v>0</v>
      </c>
      <c r="X1356" s="2">
        <v>826.4</v>
      </c>
    </row>
    <row r="1357" spans="1:24" x14ac:dyDescent="0.25">
      <c r="G1357" s="2" t="s">
        <v>2357</v>
      </c>
    </row>
    <row r="1358" spans="1:24" x14ac:dyDescent="0.25">
      <c r="A1358" s="2">
        <v>676</v>
      </c>
      <c r="B1358" s="2">
        <v>1614</v>
      </c>
      <c r="C1358" s="2" t="s">
        <v>2358</v>
      </c>
      <c r="D1358" s="2" t="s">
        <v>264</v>
      </c>
      <c r="E1358" s="2" t="s">
        <v>84</v>
      </c>
      <c r="F1358" s="2" t="s">
        <v>2359</v>
      </c>
      <c r="G1358" s="2">
        <v>826.1</v>
      </c>
      <c r="H1358" s="2">
        <v>0</v>
      </c>
      <c r="I1358" s="2">
        <v>0</v>
      </c>
      <c r="J1358" s="2">
        <v>0</v>
      </c>
      <c r="K1358" s="2">
        <v>0</v>
      </c>
      <c r="L1358" s="2">
        <v>0</v>
      </c>
      <c r="M1358" s="2">
        <v>0</v>
      </c>
      <c r="N1358" s="2">
        <v>0</v>
      </c>
      <c r="O1358" s="2">
        <v>0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v>0</v>
      </c>
      <c r="W1358" s="2">
        <v>0</v>
      </c>
      <c r="X1358" s="2">
        <v>826.1</v>
      </c>
    </row>
    <row r="1359" spans="1:24" x14ac:dyDescent="0.25">
      <c r="G1359" s="2" t="s">
        <v>2360</v>
      </c>
    </row>
    <row r="1360" spans="1:24" x14ac:dyDescent="0.25">
      <c r="A1360" s="2">
        <v>677</v>
      </c>
      <c r="B1360" s="2">
        <v>5209</v>
      </c>
      <c r="C1360" s="2" t="s">
        <v>2361</v>
      </c>
      <c r="D1360" s="2" t="s">
        <v>204</v>
      </c>
      <c r="E1360" s="2" t="s">
        <v>39</v>
      </c>
      <c r="F1360" s="2" t="s">
        <v>2362</v>
      </c>
      <c r="G1360" s="2">
        <v>826.1</v>
      </c>
      <c r="H1360" s="2">
        <v>0</v>
      </c>
      <c r="I1360" s="2">
        <v>0</v>
      </c>
      <c r="J1360" s="2">
        <v>0</v>
      </c>
      <c r="K1360" s="2">
        <v>0</v>
      </c>
      <c r="L1360" s="2">
        <v>0</v>
      </c>
      <c r="M1360" s="2">
        <v>0</v>
      </c>
      <c r="N1360" s="2">
        <v>0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v>0</v>
      </c>
      <c r="W1360" s="2">
        <v>0</v>
      </c>
      <c r="X1360" s="2">
        <v>826.1</v>
      </c>
    </row>
    <row r="1361" spans="1:24" x14ac:dyDescent="0.25">
      <c r="G1361" s="2" t="s">
        <v>2363</v>
      </c>
    </row>
    <row r="1362" spans="1:24" x14ac:dyDescent="0.25">
      <c r="A1362" s="2">
        <v>678</v>
      </c>
      <c r="B1362" s="2">
        <v>4672</v>
      </c>
      <c r="C1362" s="2" t="s">
        <v>2364</v>
      </c>
      <c r="D1362" s="2" t="s">
        <v>902</v>
      </c>
      <c r="E1362" s="2" t="s">
        <v>342</v>
      </c>
      <c r="F1362" s="2" t="s">
        <v>2365</v>
      </c>
      <c r="G1362" s="2">
        <v>826.1</v>
      </c>
      <c r="H1362" s="2">
        <v>0</v>
      </c>
      <c r="I1362" s="2">
        <v>0</v>
      </c>
      <c r="J1362" s="2">
        <v>0</v>
      </c>
      <c r="K1362" s="2">
        <v>0</v>
      </c>
      <c r="L1362" s="2">
        <v>0</v>
      </c>
      <c r="M1362" s="2">
        <v>0</v>
      </c>
      <c r="N1362" s="2">
        <v>0</v>
      </c>
      <c r="O1362" s="2">
        <v>0</v>
      </c>
      <c r="P1362" s="2">
        <v>0</v>
      </c>
      <c r="Q1362" s="2">
        <v>0</v>
      </c>
      <c r="R1362" s="2">
        <v>0</v>
      </c>
      <c r="S1362" s="2">
        <v>0</v>
      </c>
      <c r="T1362" s="2">
        <v>0</v>
      </c>
      <c r="U1362" s="2">
        <v>0</v>
      </c>
      <c r="W1362" s="2">
        <v>0</v>
      </c>
      <c r="X1362" s="2">
        <v>826.1</v>
      </c>
    </row>
    <row r="1363" spans="1:24" x14ac:dyDescent="0.25">
      <c r="G1363" s="2" t="s">
        <v>2366</v>
      </c>
    </row>
    <row r="1364" spans="1:24" x14ac:dyDescent="0.25">
      <c r="A1364" s="2">
        <v>679</v>
      </c>
      <c r="B1364" s="2">
        <v>8345</v>
      </c>
      <c r="C1364" s="2" t="s">
        <v>2368</v>
      </c>
      <c r="D1364" s="2" t="s">
        <v>395</v>
      </c>
      <c r="E1364" s="2" t="s">
        <v>302</v>
      </c>
      <c r="F1364" s="2" t="s">
        <v>2369</v>
      </c>
      <c r="G1364" s="2">
        <v>826.1</v>
      </c>
      <c r="H1364" s="2">
        <v>0</v>
      </c>
      <c r="I1364" s="2">
        <v>0</v>
      </c>
      <c r="J1364" s="2">
        <v>0</v>
      </c>
      <c r="K1364" s="2">
        <v>0</v>
      </c>
      <c r="L1364" s="2">
        <v>0</v>
      </c>
      <c r="M1364" s="2">
        <v>0</v>
      </c>
      <c r="N1364" s="2">
        <v>0</v>
      </c>
      <c r="O1364" s="2">
        <v>0</v>
      </c>
      <c r="P1364" s="2">
        <v>0</v>
      </c>
      <c r="Q1364" s="2">
        <v>0</v>
      </c>
      <c r="R1364" s="2">
        <v>0</v>
      </c>
      <c r="S1364" s="2">
        <v>0</v>
      </c>
      <c r="T1364" s="2">
        <v>0</v>
      </c>
      <c r="U1364" s="2">
        <v>0</v>
      </c>
      <c r="W1364" s="2">
        <v>0</v>
      </c>
      <c r="X1364" s="2">
        <v>826.1</v>
      </c>
    </row>
    <row r="1365" spans="1:24" x14ac:dyDescent="0.25">
      <c r="G1365" s="2" t="s">
        <v>2370</v>
      </c>
    </row>
    <row r="1366" spans="1:24" x14ac:dyDescent="0.25">
      <c r="A1366" s="2">
        <v>680</v>
      </c>
      <c r="B1366" s="2">
        <v>3981</v>
      </c>
      <c r="C1366" s="2" t="s">
        <v>2371</v>
      </c>
      <c r="D1366" s="2" t="s">
        <v>89</v>
      </c>
      <c r="E1366" s="2" t="s">
        <v>318</v>
      </c>
      <c r="F1366" s="2" t="s">
        <v>2372</v>
      </c>
      <c r="G1366" s="2">
        <v>765.6</v>
      </c>
      <c r="H1366" s="2">
        <v>0</v>
      </c>
      <c r="I1366" s="2">
        <v>0</v>
      </c>
      <c r="J1366" s="2">
        <v>0</v>
      </c>
      <c r="K1366" s="2">
        <v>0</v>
      </c>
      <c r="L1366" s="2">
        <v>0</v>
      </c>
      <c r="M1366" s="2">
        <v>30</v>
      </c>
      <c r="N1366" s="2">
        <v>30</v>
      </c>
      <c r="O1366" s="2">
        <v>0</v>
      </c>
      <c r="P1366" s="2">
        <v>0</v>
      </c>
      <c r="Q1366" s="2">
        <v>0</v>
      </c>
      <c r="R1366" s="2">
        <v>0</v>
      </c>
      <c r="S1366" s="2">
        <v>0</v>
      </c>
      <c r="T1366" s="2">
        <v>0</v>
      </c>
      <c r="U1366" s="2">
        <v>0</v>
      </c>
      <c r="W1366" s="2">
        <v>1</v>
      </c>
      <c r="X1366" s="2">
        <v>825.6</v>
      </c>
    </row>
    <row r="1367" spans="1:24" x14ac:dyDescent="0.25">
      <c r="G1367" s="2" t="s">
        <v>2373</v>
      </c>
    </row>
    <row r="1368" spans="1:24" x14ac:dyDescent="0.25">
      <c r="A1368" s="2">
        <v>681</v>
      </c>
      <c r="B1368" s="2">
        <v>7187</v>
      </c>
      <c r="C1368" s="2" t="s">
        <v>2374</v>
      </c>
      <c r="D1368" s="2" t="s">
        <v>248</v>
      </c>
      <c r="E1368" s="2" t="s">
        <v>829</v>
      </c>
      <c r="F1368" s="2" t="s">
        <v>2375</v>
      </c>
      <c r="G1368" s="2">
        <v>795.3</v>
      </c>
      <c r="H1368" s="2">
        <v>0</v>
      </c>
      <c r="I1368" s="2">
        <v>0</v>
      </c>
      <c r="J1368" s="2">
        <v>0</v>
      </c>
      <c r="K1368" s="2">
        <v>0</v>
      </c>
      <c r="L1368" s="2">
        <v>0</v>
      </c>
      <c r="M1368" s="2">
        <v>30</v>
      </c>
      <c r="N1368" s="2">
        <v>0</v>
      </c>
      <c r="O1368" s="2">
        <v>0</v>
      </c>
      <c r="P1368" s="2">
        <v>0</v>
      </c>
      <c r="Q1368" s="2">
        <v>0</v>
      </c>
      <c r="R1368" s="2">
        <v>0</v>
      </c>
      <c r="S1368" s="2">
        <v>0</v>
      </c>
      <c r="T1368" s="2">
        <v>0</v>
      </c>
      <c r="U1368" s="2">
        <v>0</v>
      </c>
      <c r="W1368" s="2">
        <v>0</v>
      </c>
      <c r="X1368" s="2">
        <v>825.3</v>
      </c>
    </row>
    <row r="1369" spans="1:24" x14ac:dyDescent="0.25">
      <c r="G1369" s="2" t="s">
        <v>2376</v>
      </c>
    </row>
    <row r="1370" spans="1:24" x14ac:dyDescent="0.25">
      <c r="A1370" s="2">
        <v>682</v>
      </c>
      <c r="B1370" s="2">
        <v>8299</v>
      </c>
      <c r="C1370" s="2" t="s">
        <v>2377</v>
      </c>
      <c r="D1370" s="2" t="s">
        <v>107</v>
      </c>
      <c r="E1370" s="2" t="s">
        <v>2378</v>
      </c>
      <c r="F1370" s="2" t="s">
        <v>2379</v>
      </c>
      <c r="G1370" s="2">
        <v>795.3</v>
      </c>
      <c r="H1370" s="2">
        <v>0</v>
      </c>
      <c r="I1370" s="2">
        <v>0</v>
      </c>
      <c r="J1370" s="2">
        <v>0</v>
      </c>
      <c r="K1370" s="2">
        <v>0</v>
      </c>
      <c r="L1370" s="2">
        <v>0</v>
      </c>
      <c r="M1370" s="2">
        <v>30</v>
      </c>
      <c r="N1370" s="2">
        <v>0</v>
      </c>
      <c r="O1370" s="2">
        <v>0</v>
      </c>
      <c r="P1370" s="2">
        <v>0</v>
      </c>
      <c r="Q1370" s="2">
        <v>0</v>
      </c>
      <c r="R1370" s="2">
        <v>0</v>
      </c>
      <c r="S1370" s="2">
        <v>0</v>
      </c>
      <c r="T1370" s="2">
        <v>0</v>
      </c>
      <c r="U1370" s="2">
        <v>0</v>
      </c>
      <c r="W1370" s="2">
        <v>0</v>
      </c>
      <c r="X1370" s="2">
        <v>825.3</v>
      </c>
    </row>
    <row r="1371" spans="1:24" x14ac:dyDescent="0.25">
      <c r="G1371" s="2" t="s">
        <v>2380</v>
      </c>
    </row>
    <row r="1372" spans="1:24" x14ac:dyDescent="0.25">
      <c r="A1372" s="2">
        <v>683</v>
      </c>
      <c r="B1372" s="2">
        <v>3928</v>
      </c>
      <c r="C1372" s="2" t="s">
        <v>2381</v>
      </c>
      <c r="D1372" s="2" t="s">
        <v>365</v>
      </c>
      <c r="E1372" s="2" t="s">
        <v>78</v>
      </c>
      <c r="F1372" s="2" t="s">
        <v>2382</v>
      </c>
      <c r="G1372" s="2">
        <v>795.3</v>
      </c>
      <c r="H1372" s="2">
        <v>0</v>
      </c>
      <c r="I1372" s="2">
        <v>0</v>
      </c>
      <c r="J1372" s="2">
        <v>0</v>
      </c>
      <c r="K1372" s="2">
        <v>0</v>
      </c>
      <c r="L1372" s="2">
        <v>0</v>
      </c>
      <c r="M1372" s="2">
        <v>30</v>
      </c>
      <c r="N1372" s="2">
        <v>0</v>
      </c>
      <c r="O1372" s="2">
        <v>0</v>
      </c>
      <c r="P1372" s="2">
        <v>0</v>
      </c>
      <c r="Q1372" s="2">
        <v>0</v>
      </c>
      <c r="R1372" s="2">
        <v>0</v>
      </c>
      <c r="S1372" s="2">
        <v>0</v>
      </c>
      <c r="T1372" s="2">
        <v>0</v>
      </c>
      <c r="U1372" s="2">
        <v>0</v>
      </c>
      <c r="W1372" s="2">
        <v>0</v>
      </c>
      <c r="X1372" s="2">
        <v>825.3</v>
      </c>
    </row>
    <row r="1373" spans="1:24" x14ac:dyDescent="0.25">
      <c r="G1373" s="2" t="s">
        <v>2383</v>
      </c>
    </row>
    <row r="1374" spans="1:24" x14ac:dyDescent="0.25">
      <c r="A1374" s="2">
        <v>684</v>
      </c>
      <c r="B1374" s="2">
        <v>11955</v>
      </c>
      <c r="C1374" s="2" t="s">
        <v>2385</v>
      </c>
      <c r="D1374" s="2" t="s">
        <v>112</v>
      </c>
      <c r="E1374" s="2" t="s">
        <v>73</v>
      </c>
      <c r="F1374" s="2" t="s">
        <v>2386</v>
      </c>
      <c r="G1374" s="2">
        <v>795.3</v>
      </c>
      <c r="H1374" s="2">
        <v>0</v>
      </c>
      <c r="I1374" s="2">
        <v>0</v>
      </c>
      <c r="J1374" s="2">
        <v>0</v>
      </c>
      <c r="K1374" s="2">
        <v>0</v>
      </c>
      <c r="L1374" s="2">
        <v>0</v>
      </c>
      <c r="M1374" s="2">
        <v>30</v>
      </c>
      <c r="N1374" s="2">
        <v>0</v>
      </c>
      <c r="O1374" s="2">
        <v>0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v>0</v>
      </c>
      <c r="W1374" s="2">
        <v>1</v>
      </c>
      <c r="X1374" s="2">
        <v>825.3</v>
      </c>
    </row>
    <row r="1375" spans="1:24" x14ac:dyDescent="0.25">
      <c r="G1375" s="2" t="s">
        <v>2387</v>
      </c>
    </row>
    <row r="1376" spans="1:24" x14ac:dyDescent="0.25">
      <c r="A1376" s="2">
        <v>685</v>
      </c>
      <c r="B1376" s="2">
        <v>9487</v>
      </c>
      <c r="C1376" s="2" t="s">
        <v>2388</v>
      </c>
      <c r="D1376" s="2" t="s">
        <v>2389</v>
      </c>
      <c r="E1376" s="2" t="s">
        <v>39</v>
      </c>
      <c r="F1376" s="2" t="s">
        <v>2390</v>
      </c>
      <c r="G1376" s="2">
        <v>795.3</v>
      </c>
      <c r="H1376" s="2">
        <v>0</v>
      </c>
      <c r="I1376" s="2">
        <v>0</v>
      </c>
      <c r="J1376" s="2">
        <v>0</v>
      </c>
      <c r="K1376" s="2">
        <v>0</v>
      </c>
      <c r="L1376" s="2">
        <v>0</v>
      </c>
      <c r="M1376" s="2">
        <v>30</v>
      </c>
      <c r="N1376" s="2">
        <v>0</v>
      </c>
      <c r="O1376" s="2">
        <v>0</v>
      </c>
      <c r="P1376" s="2">
        <v>0</v>
      </c>
      <c r="Q1376" s="2">
        <v>0</v>
      </c>
      <c r="R1376" s="2">
        <v>0</v>
      </c>
      <c r="S1376" s="2">
        <v>0</v>
      </c>
      <c r="T1376" s="2">
        <v>0</v>
      </c>
      <c r="U1376" s="2">
        <v>0</v>
      </c>
      <c r="W1376" s="2">
        <v>0</v>
      </c>
      <c r="X1376" s="2">
        <v>825.3</v>
      </c>
    </row>
    <row r="1377" spans="1:24" x14ac:dyDescent="0.25">
      <c r="G1377" s="2" t="s">
        <v>2391</v>
      </c>
    </row>
    <row r="1378" spans="1:24" x14ac:dyDescent="0.25">
      <c r="A1378" s="2">
        <v>686</v>
      </c>
      <c r="B1378" s="2">
        <v>6508</v>
      </c>
      <c r="C1378" s="2" t="s">
        <v>2392</v>
      </c>
      <c r="D1378" s="2" t="s">
        <v>39</v>
      </c>
      <c r="E1378" s="2" t="s">
        <v>194</v>
      </c>
      <c r="F1378" s="2" t="s">
        <v>2393</v>
      </c>
      <c r="G1378" s="2">
        <v>795.3</v>
      </c>
      <c r="H1378" s="2">
        <v>0</v>
      </c>
      <c r="I1378" s="2">
        <v>0</v>
      </c>
      <c r="J1378" s="2">
        <v>0</v>
      </c>
      <c r="K1378" s="2">
        <v>0</v>
      </c>
      <c r="L1378" s="2">
        <v>0</v>
      </c>
      <c r="M1378" s="2">
        <v>30</v>
      </c>
      <c r="N1378" s="2">
        <v>0</v>
      </c>
      <c r="O1378" s="2">
        <v>0</v>
      </c>
      <c r="P1378" s="2">
        <v>0</v>
      </c>
      <c r="Q1378" s="2">
        <v>0</v>
      </c>
      <c r="R1378" s="2">
        <v>0</v>
      </c>
      <c r="S1378" s="2">
        <v>0</v>
      </c>
      <c r="T1378" s="2">
        <v>0</v>
      </c>
      <c r="U1378" s="2">
        <v>0</v>
      </c>
      <c r="W1378" s="2">
        <v>2</v>
      </c>
      <c r="X1378" s="2">
        <v>825.3</v>
      </c>
    </row>
    <row r="1379" spans="1:24" x14ac:dyDescent="0.25">
      <c r="G1379" s="2" t="s">
        <v>2394</v>
      </c>
    </row>
    <row r="1380" spans="1:24" x14ac:dyDescent="0.25">
      <c r="A1380" s="2">
        <v>687</v>
      </c>
      <c r="B1380" s="2">
        <v>1142</v>
      </c>
      <c r="C1380" s="2" t="s">
        <v>2395</v>
      </c>
      <c r="D1380" s="2" t="s">
        <v>38</v>
      </c>
      <c r="E1380" s="2" t="s">
        <v>79</v>
      </c>
      <c r="F1380" s="2" t="s">
        <v>2396</v>
      </c>
      <c r="G1380" s="2">
        <v>825</v>
      </c>
      <c r="H1380" s="2">
        <v>0</v>
      </c>
      <c r="I1380" s="2">
        <v>0</v>
      </c>
      <c r="J1380" s="2">
        <v>0</v>
      </c>
      <c r="K1380" s="2">
        <v>0</v>
      </c>
      <c r="L1380" s="2">
        <v>0</v>
      </c>
      <c r="M1380" s="2">
        <v>0</v>
      </c>
      <c r="N1380" s="2">
        <v>0</v>
      </c>
      <c r="O1380" s="2">
        <v>0</v>
      </c>
      <c r="P1380" s="2">
        <v>0</v>
      </c>
      <c r="Q1380" s="2">
        <v>0</v>
      </c>
      <c r="R1380" s="2">
        <v>0</v>
      </c>
      <c r="S1380" s="2">
        <v>0</v>
      </c>
      <c r="T1380" s="2">
        <v>0</v>
      </c>
      <c r="U1380" s="2">
        <v>0</v>
      </c>
      <c r="W1380" s="2">
        <v>0</v>
      </c>
      <c r="X1380" s="2">
        <v>825</v>
      </c>
    </row>
    <row r="1381" spans="1:24" x14ac:dyDescent="0.25">
      <c r="G1381" s="2" t="s">
        <v>2397</v>
      </c>
    </row>
    <row r="1382" spans="1:24" x14ac:dyDescent="0.25">
      <c r="A1382" s="2">
        <v>688</v>
      </c>
      <c r="B1382" s="2">
        <v>5719</v>
      </c>
      <c r="C1382" s="2" t="s">
        <v>2398</v>
      </c>
      <c r="D1382" s="2" t="s">
        <v>84</v>
      </c>
      <c r="E1382" s="2" t="s">
        <v>193</v>
      </c>
      <c r="F1382" s="2" t="s">
        <v>2399</v>
      </c>
      <c r="G1382" s="2">
        <v>825</v>
      </c>
      <c r="H1382" s="2">
        <v>0</v>
      </c>
      <c r="I1382" s="2">
        <v>0</v>
      </c>
      <c r="J1382" s="2">
        <v>0</v>
      </c>
      <c r="K1382" s="2">
        <v>0</v>
      </c>
      <c r="L1382" s="2">
        <v>0</v>
      </c>
      <c r="M1382" s="2">
        <v>0</v>
      </c>
      <c r="N1382" s="2">
        <v>0</v>
      </c>
      <c r="O1382" s="2">
        <v>0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v>0</v>
      </c>
      <c r="W1382" s="2">
        <v>0</v>
      </c>
      <c r="X1382" s="2">
        <v>825</v>
      </c>
    </row>
    <row r="1383" spans="1:24" x14ac:dyDescent="0.25">
      <c r="G1383" s="2" t="s">
        <v>2400</v>
      </c>
    </row>
    <row r="1384" spans="1:24" x14ac:dyDescent="0.25">
      <c r="A1384" s="2">
        <v>689</v>
      </c>
      <c r="B1384" s="2">
        <v>13098</v>
      </c>
      <c r="C1384" s="2" t="s">
        <v>2401</v>
      </c>
      <c r="D1384" s="2" t="s">
        <v>127</v>
      </c>
      <c r="E1384" s="2" t="s">
        <v>73</v>
      </c>
      <c r="F1384" s="2" t="s">
        <v>2402</v>
      </c>
      <c r="G1384" s="2">
        <v>794.2</v>
      </c>
      <c r="H1384" s="2">
        <v>0</v>
      </c>
      <c r="I1384" s="2">
        <v>0</v>
      </c>
      <c r="J1384" s="2">
        <v>0</v>
      </c>
      <c r="K1384" s="2">
        <v>0</v>
      </c>
      <c r="L1384" s="2">
        <v>0</v>
      </c>
      <c r="M1384" s="2">
        <v>30</v>
      </c>
      <c r="N1384" s="2">
        <v>0</v>
      </c>
      <c r="O1384" s="2">
        <v>0</v>
      </c>
      <c r="P1384" s="2">
        <v>0</v>
      </c>
      <c r="Q1384" s="2">
        <v>0</v>
      </c>
      <c r="R1384" s="2">
        <v>0</v>
      </c>
      <c r="S1384" s="2">
        <v>0</v>
      </c>
      <c r="T1384" s="2">
        <v>0</v>
      </c>
      <c r="U1384" s="2">
        <v>0</v>
      </c>
      <c r="W1384" s="2">
        <v>0</v>
      </c>
      <c r="X1384" s="2">
        <v>824.2</v>
      </c>
    </row>
    <row r="1385" spans="1:24" x14ac:dyDescent="0.25">
      <c r="G1385" s="2" t="s">
        <v>2403</v>
      </c>
    </row>
    <row r="1386" spans="1:24" x14ac:dyDescent="0.25">
      <c r="A1386" s="2">
        <v>690</v>
      </c>
      <c r="B1386" s="2">
        <v>8409</v>
      </c>
      <c r="C1386" s="2" t="s">
        <v>2404</v>
      </c>
      <c r="D1386" s="2" t="s">
        <v>56</v>
      </c>
      <c r="E1386" s="2" t="s">
        <v>430</v>
      </c>
      <c r="F1386" s="2" t="s">
        <v>2405</v>
      </c>
      <c r="G1386" s="2">
        <v>794.2</v>
      </c>
      <c r="H1386" s="2">
        <v>0</v>
      </c>
      <c r="I1386" s="2">
        <v>0</v>
      </c>
      <c r="J1386" s="2">
        <v>0</v>
      </c>
      <c r="K1386" s="2">
        <v>0</v>
      </c>
      <c r="L1386" s="2">
        <v>0</v>
      </c>
      <c r="M1386" s="2">
        <v>30</v>
      </c>
      <c r="N1386" s="2">
        <v>0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v>0</v>
      </c>
      <c r="W1386" s="2">
        <v>0</v>
      </c>
      <c r="X1386" s="2">
        <v>824.2</v>
      </c>
    </row>
    <row r="1387" spans="1:24" x14ac:dyDescent="0.25">
      <c r="G1387" s="2" t="s">
        <v>2406</v>
      </c>
    </row>
    <row r="1388" spans="1:24" x14ac:dyDescent="0.25">
      <c r="A1388" s="2">
        <v>691</v>
      </c>
      <c r="B1388" s="2">
        <v>5485</v>
      </c>
      <c r="C1388" s="2" t="s">
        <v>1402</v>
      </c>
      <c r="D1388" s="2" t="s">
        <v>188</v>
      </c>
      <c r="E1388" s="2" t="s">
        <v>597</v>
      </c>
      <c r="F1388" s="2" t="s">
        <v>2407</v>
      </c>
      <c r="G1388" s="2">
        <v>794.2</v>
      </c>
      <c r="H1388" s="2">
        <v>0</v>
      </c>
      <c r="I1388" s="2">
        <v>0</v>
      </c>
      <c r="J1388" s="2">
        <v>0</v>
      </c>
      <c r="K1388" s="2">
        <v>0</v>
      </c>
      <c r="L1388" s="2">
        <v>0</v>
      </c>
      <c r="M1388" s="2">
        <v>30</v>
      </c>
      <c r="N1388" s="2">
        <v>0</v>
      </c>
      <c r="O1388" s="2">
        <v>0</v>
      </c>
      <c r="P1388" s="2">
        <v>0</v>
      </c>
      <c r="Q1388" s="2">
        <v>0</v>
      </c>
      <c r="R1388" s="2">
        <v>0</v>
      </c>
      <c r="S1388" s="2">
        <v>0</v>
      </c>
      <c r="T1388" s="2">
        <v>0</v>
      </c>
      <c r="U1388" s="2">
        <v>0</v>
      </c>
      <c r="W1388" s="2">
        <v>1</v>
      </c>
      <c r="X1388" s="2">
        <v>824.2</v>
      </c>
    </row>
    <row r="1389" spans="1:24" x14ac:dyDescent="0.25">
      <c r="G1389" s="2" t="s">
        <v>2408</v>
      </c>
    </row>
    <row r="1390" spans="1:24" x14ac:dyDescent="0.25">
      <c r="A1390" s="2">
        <v>692</v>
      </c>
      <c r="B1390" s="2">
        <v>1977</v>
      </c>
      <c r="C1390" s="2" t="s">
        <v>2342</v>
      </c>
      <c r="D1390" s="2" t="s">
        <v>687</v>
      </c>
      <c r="E1390" s="2" t="s">
        <v>39</v>
      </c>
      <c r="F1390" s="2" t="s">
        <v>2409</v>
      </c>
      <c r="G1390" s="2">
        <v>823.9</v>
      </c>
      <c r="H1390" s="2">
        <v>0</v>
      </c>
      <c r="I1390" s="2">
        <v>0</v>
      </c>
      <c r="J1390" s="2">
        <v>0</v>
      </c>
      <c r="K1390" s="2">
        <v>0</v>
      </c>
      <c r="L1390" s="2">
        <v>0</v>
      </c>
      <c r="M1390" s="2">
        <v>0</v>
      </c>
      <c r="N1390" s="2">
        <v>0</v>
      </c>
      <c r="O1390" s="2">
        <v>0</v>
      </c>
      <c r="P1390" s="2">
        <v>0</v>
      </c>
      <c r="Q1390" s="2">
        <v>0</v>
      </c>
      <c r="R1390" s="2">
        <v>0</v>
      </c>
      <c r="S1390" s="2">
        <v>0</v>
      </c>
      <c r="T1390" s="2">
        <v>0</v>
      </c>
      <c r="U1390" s="2">
        <v>0</v>
      </c>
      <c r="W1390" s="2">
        <v>0</v>
      </c>
      <c r="X1390" s="2">
        <v>823.9</v>
      </c>
    </row>
    <row r="1391" spans="1:24" x14ac:dyDescent="0.25">
      <c r="G1391" s="2" t="s">
        <v>2410</v>
      </c>
    </row>
    <row r="1392" spans="1:24" x14ac:dyDescent="0.25">
      <c r="A1392" s="2">
        <v>693</v>
      </c>
      <c r="B1392" s="2">
        <v>4227</v>
      </c>
      <c r="C1392" s="2" t="s">
        <v>2411</v>
      </c>
      <c r="D1392" s="2" t="s">
        <v>406</v>
      </c>
      <c r="E1392" s="2" t="s">
        <v>194</v>
      </c>
      <c r="F1392" s="2" t="s">
        <v>2412</v>
      </c>
      <c r="G1392" s="2">
        <v>823.9</v>
      </c>
      <c r="H1392" s="2">
        <v>0</v>
      </c>
      <c r="I1392" s="2">
        <v>0</v>
      </c>
      <c r="J1392" s="2">
        <v>0</v>
      </c>
      <c r="K1392" s="2">
        <v>0</v>
      </c>
      <c r="L1392" s="2">
        <v>0</v>
      </c>
      <c r="M1392" s="2">
        <v>0</v>
      </c>
      <c r="N1392" s="2">
        <v>0</v>
      </c>
      <c r="O1392" s="2">
        <v>0</v>
      </c>
      <c r="P1392" s="2">
        <v>0</v>
      </c>
      <c r="Q1392" s="2">
        <v>0</v>
      </c>
      <c r="R1392" s="2">
        <v>0</v>
      </c>
      <c r="S1392" s="2">
        <v>0</v>
      </c>
      <c r="T1392" s="2">
        <v>0</v>
      </c>
      <c r="U1392" s="2">
        <v>0</v>
      </c>
      <c r="W1392" s="2">
        <v>0</v>
      </c>
      <c r="X1392" s="2">
        <v>823.9</v>
      </c>
    </row>
    <row r="1393" spans="1:24" x14ac:dyDescent="0.25">
      <c r="G1393" s="2" t="s">
        <v>2413</v>
      </c>
    </row>
    <row r="1394" spans="1:24" x14ac:dyDescent="0.25">
      <c r="A1394" s="2">
        <v>694</v>
      </c>
      <c r="B1394" s="2">
        <v>6387</v>
      </c>
      <c r="C1394" s="2" t="s">
        <v>1423</v>
      </c>
      <c r="D1394" s="2" t="s">
        <v>248</v>
      </c>
      <c r="E1394" s="2" t="s">
        <v>194</v>
      </c>
      <c r="F1394" s="2" t="s">
        <v>2414</v>
      </c>
      <c r="G1394" s="2">
        <v>773.3</v>
      </c>
      <c r="H1394" s="2">
        <v>0</v>
      </c>
      <c r="I1394" s="2">
        <v>0</v>
      </c>
      <c r="J1394" s="2">
        <v>0</v>
      </c>
      <c r="K1394" s="2">
        <v>0</v>
      </c>
      <c r="L1394" s="2">
        <v>0</v>
      </c>
      <c r="M1394" s="2">
        <v>50</v>
      </c>
      <c r="N1394" s="2">
        <v>0</v>
      </c>
      <c r="O1394" s="2">
        <v>0</v>
      </c>
      <c r="P1394" s="2">
        <v>0</v>
      </c>
      <c r="Q1394" s="2">
        <v>0</v>
      </c>
      <c r="R1394" s="2">
        <v>0</v>
      </c>
      <c r="S1394" s="2">
        <v>0</v>
      </c>
      <c r="T1394" s="2">
        <v>0</v>
      </c>
      <c r="U1394" s="2">
        <v>0</v>
      </c>
      <c r="W1394" s="2">
        <v>0</v>
      </c>
      <c r="X1394" s="2">
        <v>823.3</v>
      </c>
    </row>
    <row r="1395" spans="1:24" x14ac:dyDescent="0.25">
      <c r="G1395" s="2" t="s">
        <v>2415</v>
      </c>
    </row>
    <row r="1396" spans="1:24" x14ac:dyDescent="0.25">
      <c r="A1396" s="2">
        <v>695</v>
      </c>
      <c r="B1396" s="2">
        <v>4721</v>
      </c>
      <c r="C1396" s="2" t="s">
        <v>1723</v>
      </c>
      <c r="D1396" s="2" t="s">
        <v>399</v>
      </c>
      <c r="E1396" s="2" t="s">
        <v>39</v>
      </c>
      <c r="F1396" s="2" t="s">
        <v>2416</v>
      </c>
      <c r="G1396" s="2">
        <v>793.1</v>
      </c>
      <c r="H1396" s="2">
        <v>0</v>
      </c>
      <c r="I1396" s="2">
        <v>0</v>
      </c>
      <c r="J1396" s="2">
        <v>0</v>
      </c>
      <c r="K1396" s="2">
        <v>0</v>
      </c>
      <c r="L1396" s="2">
        <v>0</v>
      </c>
      <c r="M1396" s="2">
        <v>30</v>
      </c>
      <c r="N1396" s="2">
        <v>0</v>
      </c>
      <c r="O1396" s="2">
        <v>0</v>
      </c>
      <c r="P1396" s="2">
        <v>0</v>
      </c>
      <c r="Q1396" s="2">
        <v>0</v>
      </c>
      <c r="R1396" s="2">
        <v>0</v>
      </c>
      <c r="S1396" s="2">
        <v>0</v>
      </c>
      <c r="T1396" s="2">
        <v>0</v>
      </c>
      <c r="U1396" s="2">
        <v>0</v>
      </c>
      <c r="W1396" s="2">
        <v>0</v>
      </c>
      <c r="X1396" s="2">
        <v>823.1</v>
      </c>
    </row>
    <row r="1397" spans="1:24" x14ac:dyDescent="0.25">
      <c r="G1397" s="2" t="s">
        <v>588</v>
      </c>
    </row>
    <row r="1398" spans="1:24" x14ac:dyDescent="0.25">
      <c r="A1398" s="2">
        <v>696</v>
      </c>
      <c r="B1398" s="2">
        <v>7151</v>
      </c>
      <c r="C1398" s="2" t="s">
        <v>78</v>
      </c>
      <c r="D1398" s="2" t="s">
        <v>2417</v>
      </c>
      <c r="E1398" s="2" t="s">
        <v>16</v>
      </c>
      <c r="F1398" s="2" t="s">
        <v>2418</v>
      </c>
      <c r="G1398" s="2">
        <v>793.1</v>
      </c>
      <c r="H1398" s="2">
        <v>0</v>
      </c>
      <c r="I1398" s="2">
        <v>0</v>
      </c>
      <c r="J1398" s="2">
        <v>0</v>
      </c>
      <c r="K1398" s="2">
        <v>0</v>
      </c>
      <c r="L1398" s="2">
        <v>0</v>
      </c>
      <c r="M1398" s="2">
        <v>30</v>
      </c>
      <c r="N1398" s="2">
        <v>0</v>
      </c>
      <c r="O1398" s="2">
        <v>0</v>
      </c>
      <c r="P1398" s="2">
        <v>0</v>
      </c>
      <c r="Q1398" s="2">
        <v>0</v>
      </c>
      <c r="R1398" s="2">
        <v>0</v>
      </c>
      <c r="S1398" s="2">
        <v>0</v>
      </c>
      <c r="T1398" s="2">
        <v>0</v>
      </c>
      <c r="U1398" s="2">
        <v>0</v>
      </c>
      <c r="W1398" s="2">
        <v>0</v>
      </c>
      <c r="X1398" s="2">
        <v>823.1</v>
      </c>
    </row>
    <row r="1399" spans="1:24" x14ac:dyDescent="0.25">
      <c r="G1399" s="2" t="s">
        <v>2419</v>
      </c>
    </row>
    <row r="1400" spans="1:24" x14ac:dyDescent="0.25">
      <c r="A1400" s="2">
        <v>697</v>
      </c>
      <c r="B1400" s="2">
        <v>7188</v>
      </c>
      <c r="C1400" s="2" t="s">
        <v>2420</v>
      </c>
      <c r="D1400" s="2" t="s">
        <v>98</v>
      </c>
      <c r="E1400" s="2" t="s">
        <v>194</v>
      </c>
      <c r="F1400" s="2" t="s">
        <v>2421</v>
      </c>
      <c r="G1400" s="2">
        <v>793.1</v>
      </c>
      <c r="H1400" s="2">
        <v>0</v>
      </c>
      <c r="I1400" s="2">
        <v>0</v>
      </c>
      <c r="J1400" s="2">
        <v>0</v>
      </c>
      <c r="K1400" s="2">
        <v>0</v>
      </c>
      <c r="L1400" s="2">
        <v>0</v>
      </c>
      <c r="M1400" s="2">
        <v>30</v>
      </c>
      <c r="N1400" s="2">
        <v>0</v>
      </c>
      <c r="O1400" s="2">
        <v>0</v>
      </c>
      <c r="P1400" s="2">
        <v>0</v>
      </c>
      <c r="Q1400" s="2">
        <v>0</v>
      </c>
      <c r="R1400" s="2">
        <v>0</v>
      </c>
      <c r="S1400" s="2">
        <v>0</v>
      </c>
      <c r="T1400" s="2">
        <v>0</v>
      </c>
      <c r="U1400" s="2">
        <v>0</v>
      </c>
      <c r="W1400" s="2">
        <v>0</v>
      </c>
      <c r="X1400" s="2">
        <v>823.1</v>
      </c>
    </row>
    <row r="1401" spans="1:24" x14ac:dyDescent="0.25">
      <c r="G1401" s="2" t="s">
        <v>2422</v>
      </c>
    </row>
    <row r="1402" spans="1:24" x14ac:dyDescent="0.25">
      <c r="A1402" s="2">
        <v>698</v>
      </c>
      <c r="B1402" s="2">
        <v>6252</v>
      </c>
      <c r="C1402" s="2" t="s">
        <v>550</v>
      </c>
      <c r="D1402" s="2" t="s">
        <v>821</v>
      </c>
      <c r="E1402" s="2" t="s">
        <v>84</v>
      </c>
      <c r="F1402" s="2" t="s">
        <v>2423</v>
      </c>
      <c r="G1402" s="2">
        <v>822.8</v>
      </c>
      <c r="H1402" s="2">
        <v>0</v>
      </c>
      <c r="I1402" s="2">
        <v>0</v>
      </c>
      <c r="J1402" s="2">
        <v>0</v>
      </c>
      <c r="K1402" s="2">
        <v>0</v>
      </c>
      <c r="L1402" s="2">
        <v>0</v>
      </c>
      <c r="M1402" s="2">
        <v>0</v>
      </c>
      <c r="N1402" s="2">
        <v>0</v>
      </c>
      <c r="O1402" s="2">
        <v>0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v>0</v>
      </c>
      <c r="W1402" s="2">
        <v>0</v>
      </c>
      <c r="X1402" s="2">
        <v>822.8</v>
      </c>
    </row>
    <row r="1403" spans="1:24" x14ac:dyDescent="0.25">
      <c r="G1403" s="2" t="s">
        <v>2424</v>
      </c>
    </row>
    <row r="1404" spans="1:24" x14ac:dyDescent="0.25">
      <c r="A1404" s="2">
        <v>699</v>
      </c>
      <c r="B1404" s="2">
        <v>4280</v>
      </c>
      <c r="C1404" s="2" t="s">
        <v>2425</v>
      </c>
      <c r="D1404" s="2" t="s">
        <v>264</v>
      </c>
      <c r="E1404" s="2" t="s">
        <v>51</v>
      </c>
      <c r="F1404" s="2" t="s">
        <v>2426</v>
      </c>
      <c r="G1404" s="2">
        <v>822.8</v>
      </c>
      <c r="H1404" s="2">
        <v>0</v>
      </c>
      <c r="I1404" s="2">
        <v>0</v>
      </c>
      <c r="J1404" s="2">
        <v>0</v>
      </c>
      <c r="K1404" s="2">
        <v>0</v>
      </c>
      <c r="L1404" s="2">
        <v>0</v>
      </c>
      <c r="M1404" s="2">
        <v>0</v>
      </c>
      <c r="N1404" s="2">
        <v>0</v>
      </c>
      <c r="O1404" s="2">
        <v>0</v>
      </c>
      <c r="P1404" s="2">
        <v>0</v>
      </c>
      <c r="Q1404" s="2">
        <v>0</v>
      </c>
      <c r="R1404" s="2">
        <v>0</v>
      </c>
      <c r="S1404" s="2">
        <v>0</v>
      </c>
      <c r="T1404" s="2">
        <v>0</v>
      </c>
      <c r="U1404" s="2">
        <v>0</v>
      </c>
      <c r="W1404" s="2">
        <v>0</v>
      </c>
      <c r="X1404" s="2">
        <v>822.8</v>
      </c>
    </row>
    <row r="1405" spans="1:24" x14ac:dyDescent="0.25">
      <c r="G1405" s="2" t="s">
        <v>2427</v>
      </c>
    </row>
    <row r="1406" spans="1:24" x14ac:dyDescent="0.25">
      <c r="A1406" s="2">
        <v>700</v>
      </c>
      <c r="B1406" s="2">
        <v>1324</v>
      </c>
      <c r="C1406" s="2" t="s">
        <v>2428</v>
      </c>
      <c r="D1406" s="2" t="s">
        <v>264</v>
      </c>
      <c r="E1406" s="2" t="s">
        <v>346</v>
      </c>
      <c r="F1406" s="2" t="s">
        <v>2429</v>
      </c>
      <c r="G1406" s="2">
        <v>792</v>
      </c>
      <c r="H1406" s="2">
        <v>0</v>
      </c>
      <c r="I1406" s="2">
        <v>0</v>
      </c>
      <c r="J1406" s="2">
        <v>0</v>
      </c>
      <c r="K1406" s="2">
        <v>0</v>
      </c>
      <c r="L1406" s="2">
        <v>0</v>
      </c>
      <c r="M1406" s="2">
        <v>30</v>
      </c>
      <c r="N1406" s="2">
        <v>0</v>
      </c>
      <c r="O1406" s="2">
        <v>0</v>
      </c>
      <c r="P1406" s="2">
        <v>0</v>
      </c>
      <c r="Q1406" s="2">
        <v>0</v>
      </c>
      <c r="R1406" s="2">
        <v>0</v>
      </c>
      <c r="S1406" s="2">
        <v>0</v>
      </c>
      <c r="T1406" s="2">
        <v>0</v>
      </c>
      <c r="U1406" s="2">
        <v>0</v>
      </c>
      <c r="W1406" s="2">
        <v>0</v>
      </c>
      <c r="X1406" s="2">
        <v>822</v>
      </c>
    </row>
    <row r="1407" spans="1:24" x14ac:dyDescent="0.25">
      <c r="G1407" s="2" t="s">
        <v>2430</v>
      </c>
    </row>
    <row r="1408" spans="1:24" x14ac:dyDescent="0.25">
      <c r="A1408" s="2">
        <v>701</v>
      </c>
      <c r="B1408" s="2">
        <v>16764</v>
      </c>
      <c r="C1408" s="2" t="s">
        <v>2431</v>
      </c>
      <c r="D1408" s="2" t="s">
        <v>98</v>
      </c>
      <c r="E1408" s="2" t="s">
        <v>193</v>
      </c>
      <c r="F1408" s="2" t="s">
        <v>2432</v>
      </c>
      <c r="G1408" s="2">
        <v>821.7</v>
      </c>
      <c r="H1408" s="2">
        <v>0</v>
      </c>
      <c r="I1408" s="2">
        <v>0</v>
      </c>
      <c r="J1408" s="2">
        <v>0</v>
      </c>
      <c r="K1408" s="2">
        <v>0</v>
      </c>
      <c r="L1408" s="2">
        <v>0</v>
      </c>
      <c r="M1408" s="2">
        <v>0</v>
      </c>
      <c r="N1408" s="2">
        <v>0</v>
      </c>
      <c r="O1408" s="2">
        <v>0</v>
      </c>
      <c r="P1408" s="2">
        <v>0</v>
      </c>
      <c r="Q1408" s="2">
        <v>0</v>
      </c>
      <c r="R1408" s="2">
        <v>0</v>
      </c>
      <c r="S1408" s="2">
        <v>0</v>
      </c>
      <c r="T1408" s="2">
        <v>0</v>
      </c>
      <c r="U1408" s="2">
        <v>0</v>
      </c>
      <c r="W1408" s="2">
        <v>2</v>
      </c>
      <c r="X1408" s="2">
        <v>821.7</v>
      </c>
    </row>
    <row r="1409" spans="1:24" x14ac:dyDescent="0.25">
      <c r="G1409" s="2" t="s">
        <v>2433</v>
      </c>
    </row>
    <row r="1410" spans="1:24" x14ac:dyDescent="0.25">
      <c r="A1410" s="2">
        <v>702</v>
      </c>
      <c r="B1410" s="2">
        <v>2286</v>
      </c>
      <c r="C1410" s="2" t="s">
        <v>2434</v>
      </c>
      <c r="D1410" s="2" t="s">
        <v>2435</v>
      </c>
      <c r="E1410" s="2" t="s">
        <v>148</v>
      </c>
      <c r="F1410" s="2" t="s">
        <v>2436</v>
      </c>
      <c r="G1410" s="2">
        <v>821.7</v>
      </c>
      <c r="H1410" s="2">
        <v>0</v>
      </c>
      <c r="I1410" s="2">
        <v>0</v>
      </c>
      <c r="J1410" s="2">
        <v>0</v>
      </c>
      <c r="K1410" s="2">
        <v>0</v>
      </c>
      <c r="L1410" s="2">
        <v>0</v>
      </c>
      <c r="M1410" s="2">
        <v>0</v>
      </c>
      <c r="N1410" s="2">
        <v>0</v>
      </c>
      <c r="O1410" s="2">
        <v>0</v>
      </c>
      <c r="P1410" s="2">
        <v>0</v>
      </c>
      <c r="Q1410" s="2">
        <v>0</v>
      </c>
      <c r="R1410" s="2">
        <v>0</v>
      </c>
      <c r="S1410" s="2">
        <v>0</v>
      </c>
      <c r="T1410" s="2">
        <v>0</v>
      </c>
      <c r="U1410" s="2">
        <v>0</v>
      </c>
      <c r="W1410" s="2">
        <v>0</v>
      </c>
      <c r="X1410" s="2">
        <v>821.7</v>
      </c>
    </row>
    <row r="1411" spans="1:24" x14ac:dyDescent="0.25">
      <c r="G1411" s="2" t="s">
        <v>2437</v>
      </c>
    </row>
    <row r="1412" spans="1:24" x14ac:dyDescent="0.25">
      <c r="A1412" s="2">
        <v>703</v>
      </c>
      <c r="B1412" s="2">
        <v>1386</v>
      </c>
      <c r="C1412" s="2" t="s">
        <v>2438</v>
      </c>
      <c r="D1412" s="2" t="s">
        <v>56</v>
      </c>
      <c r="E1412" s="2" t="s">
        <v>113</v>
      </c>
      <c r="F1412" s="2" t="s">
        <v>2439</v>
      </c>
      <c r="G1412" s="2">
        <v>771.1</v>
      </c>
      <c r="H1412" s="2">
        <v>0</v>
      </c>
      <c r="I1412" s="2">
        <v>0</v>
      </c>
      <c r="J1412" s="2">
        <v>0</v>
      </c>
      <c r="K1412" s="2">
        <v>0</v>
      </c>
      <c r="L1412" s="2">
        <v>0</v>
      </c>
      <c r="M1412" s="2">
        <v>50</v>
      </c>
      <c r="N1412" s="2">
        <v>0</v>
      </c>
      <c r="O1412" s="2">
        <v>0</v>
      </c>
      <c r="P1412" s="2">
        <v>0</v>
      </c>
      <c r="Q1412" s="2">
        <v>0</v>
      </c>
      <c r="R1412" s="2">
        <v>0</v>
      </c>
      <c r="S1412" s="2">
        <v>0</v>
      </c>
      <c r="T1412" s="2">
        <v>0</v>
      </c>
      <c r="U1412" s="2">
        <v>0</v>
      </c>
      <c r="W1412" s="2">
        <v>1</v>
      </c>
      <c r="X1412" s="2">
        <v>821.1</v>
      </c>
    </row>
    <row r="1413" spans="1:24" x14ac:dyDescent="0.25">
      <c r="G1413" s="2" t="s">
        <v>2440</v>
      </c>
    </row>
    <row r="1414" spans="1:24" x14ac:dyDescent="0.25">
      <c r="A1414" s="2">
        <v>704</v>
      </c>
      <c r="B1414" s="2">
        <v>17506</v>
      </c>
      <c r="C1414" s="2" t="s">
        <v>2441</v>
      </c>
      <c r="D1414" s="2" t="s">
        <v>279</v>
      </c>
      <c r="E1414" s="2" t="s">
        <v>39</v>
      </c>
      <c r="F1414" s="2" t="s">
        <v>2442</v>
      </c>
      <c r="G1414" s="2">
        <v>790.9</v>
      </c>
      <c r="H1414" s="2">
        <v>0</v>
      </c>
      <c r="I1414" s="2">
        <v>0</v>
      </c>
      <c r="J1414" s="2">
        <v>0</v>
      </c>
      <c r="K1414" s="2">
        <v>0</v>
      </c>
      <c r="L1414" s="2">
        <v>0</v>
      </c>
      <c r="M1414" s="2">
        <v>30</v>
      </c>
      <c r="N1414" s="2">
        <v>0</v>
      </c>
      <c r="O1414" s="2">
        <v>0</v>
      </c>
      <c r="P1414" s="2">
        <v>0</v>
      </c>
      <c r="Q1414" s="2">
        <v>0</v>
      </c>
      <c r="R1414" s="2">
        <v>0</v>
      </c>
      <c r="S1414" s="2">
        <v>0</v>
      </c>
      <c r="T1414" s="2">
        <v>0</v>
      </c>
      <c r="U1414" s="2">
        <v>0</v>
      </c>
      <c r="W1414" s="2">
        <v>0</v>
      </c>
      <c r="X1414" s="2">
        <v>820.9</v>
      </c>
    </row>
    <row r="1415" spans="1:24" x14ac:dyDescent="0.25">
      <c r="G1415" s="2" t="s">
        <v>2443</v>
      </c>
    </row>
    <row r="1416" spans="1:24" x14ac:dyDescent="0.25">
      <c r="A1416" s="2">
        <v>705</v>
      </c>
      <c r="B1416" s="2">
        <v>8412</v>
      </c>
      <c r="C1416" s="2" t="s">
        <v>2444</v>
      </c>
      <c r="D1416" s="2" t="s">
        <v>50</v>
      </c>
      <c r="E1416" s="2" t="s">
        <v>90</v>
      </c>
      <c r="F1416" s="2" t="s">
        <v>2445</v>
      </c>
      <c r="G1416" s="2">
        <v>790.9</v>
      </c>
      <c r="H1416" s="2">
        <v>0</v>
      </c>
      <c r="I1416" s="2">
        <v>0</v>
      </c>
      <c r="J1416" s="2">
        <v>0</v>
      </c>
      <c r="K1416" s="2">
        <v>0</v>
      </c>
      <c r="L1416" s="2">
        <v>0</v>
      </c>
      <c r="M1416" s="2">
        <v>30</v>
      </c>
      <c r="N1416" s="2">
        <v>0</v>
      </c>
      <c r="O1416" s="2">
        <v>0</v>
      </c>
      <c r="P1416" s="2">
        <v>0</v>
      </c>
      <c r="Q1416" s="2">
        <v>0</v>
      </c>
      <c r="R1416" s="2">
        <v>0</v>
      </c>
      <c r="S1416" s="2">
        <v>0</v>
      </c>
      <c r="T1416" s="2">
        <v>0</v>
      </c>
      <c r="U1416" s="2">
        <v>0</v>
      </c>
      <c r="W1416" s="2">
        <v>0</v>
      </c>
      <c r="X1416" s="2">
        <v>820.9</v>
      </c>
    </row>
    <row r="1417" spans="1:24" x14ac:dyDescent="0.25">
      <c r="G1417" s="2" t="s">
        <v>2446</v>
      </c>
    </row>
    <row r="1418" spans="1:24" x14ac:dyDescent="0.25">
      <c r="A1418" s="2">
        <v>706</v>
      </c>
      <c r="B1418" s="2">
        <v>6799</v>
      </c>
      <c r="C1418" s="2" t="s">
        <v>2447</v>
      </c>
      <c r="D1418" s="2" t="s">
        <v>248</v>
      </c>
      <c r="E1418" s="2" t="s">
        <v>127</v>
      </c>
      <c r="F1418" s="2" t="s">
        <v>2448</v>
      </c>
      <c r="G1418" s="2">
        <v>790.9</v>
      </c>
      <c r="H1418" s="2">
        <v>0</v>
      </c>
      <c r="I1418" s="2">
        <v>0</v>
      </c>
      <c r="J1418" s="2">
        <v>0</v>
      </c>
      <c r="K1418" s="2">
        <v>0</v>
      </c>
      <c r="L1418" s="2">
        <v>0</v>
      </c>
      <c r="M1418" s="2">
        <v>30</v>
      </c>
      <c r="N1418" s="2">
        <v>0</v>
      </c>
      <c r="O1418" s="2">
        <v>0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v>0</v>
      </c>
      <c r="W1418" s="2">
        <v>1</v>
      </c>
      <c r="X1418" s="2">
        <v>820.9</v>
      </c>
    </row>
    <row r="1419" spans="1:24" x14ac:dyDescent="0.25">
      <c r="G1419" s="2" t="s">
        <v>2449</v>
      </c>
    </row>
    <row r="1420" spans="1:24" x14ac:dyDescent="0.25">
      <c r="A1420" s="2">
        <v>707</v>
      </c>
      <c r="B1420" s="2">
        <v>16940</v>
      </c>
      <c r="C1420" s="2" t="s">
        <v>2450</v>
      </c>
      <c r="D1420" s="2" t="s">
        <v>2451</v>
      </c>
      <c r="E1420" s="2" t="s">
        <v>51</v>
      </c>
      <c r="F1420" s="2" t="s">
        <v>2452</v>
      </c>
      <c r="G1420" s="2">
        <v>820.6</v>
      </c>
      <c r="H1420" s="2">
        <v>0</v>
      </c>
      <c r="I1420" s="2">
        <v>0</v>
      </c>
      <c r="J1420" s="2">
        <v>0</v>
      </c>
      <c r="K1420" s="2">
        <v>0</v>
      </c>
      <c r="L1420" s="2">
        <v>0</v>
      </c>
      <c r="M1420" s="2">
        <v>0</v>
      </c>
      <c r="N1420" s="2">
        <v>0</v>
      </c>
      <c r="O1420" s="2">
        <v>0</v>
      </c>
      <c r="P1420" s="2">
        <v>0</v>
      </c>
      <c r="Q1420" s="2">
        <v>0</v>
      </c>
      <c r="R1420" s="2">
        <v>0</v>
      </c>
      <c r="S1420" s="2">
        <v>0</v>
      </c>
      <c r="T1420" s="2">
        <v>0</v>
      </c>
      <c r="U1420" s="2">
        <v>0</v>
      </c>
      <c r="W1420" s="2">
        <v>0</v>
      </c>
      <c r="X1420" s="2">
        <v>820.6</v>
      </c>
    </row>
    <row r="1421" spans="1:24" x14ac:dyDescent="0.25">
      <c r="G1421" s="2" t="s">
        <v>2453</v>
      </c>
    </row>
    <row r="1422" spans="1:24" x14ac:dyDescent="0.25">
      <c r="A1422" s="2">
        <v>708</v>
      </c>
      <c r="B1422" s="2">
        <v>9288</v>
      </c>
      <c r="C1422" s="2" t="s">
        <v>1446</v>
      </c>
      <c r="D1422" s="2" t="s">
        <v>112</v>
      </c>
      <c r="E1422" s="2" t="s">
        <v>39</v>
      </c>
      <c r="F1422" s="2" t="s">
        <v>2454</v>
      </c>
      <c r="G1422" s="2">
        <v>820.6</v>
      </c>
      <c r="H1422" s="2">
        <v>0</v>
      </c>
      <c r="I1422" s="2">
        <v>0</v>
      </c>
      <c r="J1422" s="2">
        <v>0</v>
      </c>
      <c r="K1422" s="2">
        <v>0</v>
      </c>
      <c r="L1422" s="2">
        <v>0</v>
      </c>
      <c r="M1422" s="2">
        <v>0</v>
      </c>
      <c r="N1422" s="2">
        <v>0</v>
      </c>
      <c r="O1422" s="2">
        <v>0</v>
      </c>
      <c r="P1422" s="2">
        <v>0</v>
      </c>
      <c r="Q1422" s="2">
        <v>0</v>
      </c>
      <c r="R1422" s="2">
        <v>0</v>
      </c>
      <c r="S1422" s="2">
        <v>0</v>
      </c>
      <c r="T1422" s="2">
        <v>0</v>
      </c>
      <c r="U1422" s="2">
        <v>0</v>
      </c>
      <c r="W1422" s="2">
        <v>0</v>
      </c>
      <c r="X1422" s="2">
        <v>820.6</v>
      </c>
    </row>
    <row r="1423" spans="1:24" x14ac:dyDescent="0.25">
      <c r="G1423" s="2" t="s">
        <v>2455</v>
      </c>
    </row>
    <row r="1424" spans="1:24" x14ac:dyDescent="0.25">
      <c r="A1424" s="2">
        <v>709</v>
      </c>
      <c r="B1424" s="2">
        <v>2302</v>
      </c>
      <c r="C1424" s="2" t="s">
        <v>2456</v>
      </c>
      <c r="D1424" s="2" t="s">
        <v>182</v>
      </c>
      <c r="E1424" s="2" t="s">
        <v>567</v>
      </c>
      <c r="F1424" s="2" t="s">
        <v>2457</v>
      </c>
      <c r="G1424" s="2">
        <v>750.2</v>
      </c>
      <c r="H1424" s="2">
        <v>0</v>
      </c>
      <c r="I1424" s="2">
        <v>0</v>
      </c>
      <c r="J1424" s="2">
        <v>0</v>
      </c>
      <c r="K1424" s="2">
        <v>0</v>
      </c>
      <c r="L1424" s="2">
        <v>0</v>
      </c>
      <c r="M1424" s="2">
        <v>70</v>
      </c>
      <c r="N1424" s="2">
        <v>0</v>
      </c>
      <c r="O1424" s="2">
        <v>0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v>0</v>
      </c>
      <c r="W1424" s="2">
        <v>0</v>
      </c>
      <c r="X1424" s="2">
        <v>820.2</v>
      </c>
    </row>
    <row r="1425" spans="1:24" x14ac:dyDescent="0.25">
      <c r="G1425" s="2" t="s">
        <v>2458</v>
      </c>
    </row>
    <row r="1426" spans="1:24" x14ac:dyDescent="0.25">
      <c r="A1426" s="2">
        <v>710</v>
      </c>
      <c r="B1426" s="2">
        <v>1442</v>
      </c>
      <c r="C1426" s="2" t="s">
        <v>2371</v>
      </c>
      <c r="D1426" s="2" t="s">
        <v>1132</v>
      </c>
      <c r="E1426" s="2" t="s">
        <v>144</v>
      </c>
      <c r="F1426" s="2" t="s">
        <v>2459</v>
      </c>
      <c r="G1426" s="2">
        <v>750.2</v>
      </c>
      <c r="H1426" s="2">
        <v>0</v>
      </c>
      <c r="I1426" s="2">
        <v>0</v>
      </c>
      <c r="J1426" s="2">
        <v>0</v>
      </c>
      <c r="K1426" s="2">
        <v>0</v>
      </c>
      <c r="L1426" s="2">
        <v>0</v>
      </c>
      <c r="M1426" s="2">
        <v>70</v>
      </c>
      <c r="N1426" s="2">
        <v>0</v>
      </c>
      <c r="O1426" s="2">
        <v>0</v>
      </c>
      <c r="P1426" s="2">
        <v>0</v>
      </c>
      <c r="Q1426" s="2">
        <v>0</v>
      </c>
      <c r="R1426" s="2">
        <v>0</v>
      </c>
      <c r="S1426" s="2">
        <v>0</v>
      </c>
      <c r="T1426" s="2">
        <v>0</v>
      </c>
      <c r="U1426" s="2">
        <v>0</v>
      </c>
      <c r="W1426" s="2">
        <v>0</v>
      </c>
      <c r="X1426" s="2">
        <v>820.2</v>
      </c>
    </row>
    <row r="1427" spans="1:24" x14ac:dyDescent="0.25">
      <c r="G1427" s="2" t="s">
        <v>2460</v>
      </c>
    </row>
    <row r="1428" spans="1:24" x14ac:dyDescent="0.25">
      <c r="A1428" s="2">
        <v>711</v>
      </c>
      <c r="B1428" s="2">
        <v>4718</v>
      </c>
      <c r="C1428" s="2" t="s">
        <v>2461</v>
      </c>
      <c r="D1428" s="2" t="s">
        <v>132</v>
      </c>
      <c r="E1428" s="2" t="s">
        <v>39</v>
      </c>
      <c r="F1428" s="2" t="s">
        <v>2462</v>
      </c>
      <c r="G1428" s="2">
        <v>770</v>
      </c>
      <c r="H1428" s="2">
        <v>0</v>
      </c>
      <c r="I1428" s="2">
        <v>0</v>
      </c>
      <c r="J1428" s="2">
        <v>0</v>
      </c>
      <c r="K1428" s="2">
        <v>0</v>
      </c>
      <c r="L1428" s="2">
        <v>0</v>
      </c>
      <c r="M1428" s="2">
        <v>50</v>
      </c>
      <c r="N1428" s="2">
        <v>0</v>
      </c>
      <c r="O1428" s="2">
        <v>0</v>
      </c>
      <c r="P1428" s="2">
        <v>0</v>
      </c>
      <c r="Q1428" s="2">
        <v>0</v>
      </c>
      <c r="R1428" s="2">
        <v>0</v>
      </c>
      <c r="S1428" s="2">
        <v>0</v>
      </c>
      <c r="T1428" s="2">
        <v>0</v>
      </c>
      <c r="U1428" s="2">
        <v>0</v>
      </c>
      <c r="W1428" s="2">
        <v>0</v>
      </c>
      <c r="X1428" s="2">
        <v>820</v>
      </c>
    </row>
    <row r="1429" spans="1:24" x14ac:dyDescent="0.25">
      <c r="G1429" s="2" t="s">
        <v>2463</v>
      </c>
    </row>
    <row r="1430" spans="1:24" x14ac:dyDescent="0.25">
      <c r="A1430" s="2">
        <v>712</v>
      </c>
      <c r="B1430" s="2">
        <v>9780</v>
      </c>
      <c r="C1430" s="2" t="s">
        <v>2464</v>
      </c>
      <c r="D1430" s="2" t="s">
        <v>2465</v>
      </c>
      <c r="E1430" s="2" t="s">
        <v>16</v>
      </c>
      <c r="F1430" s="2" t="s">
        <v>2466</v>
      </c>
      <c r="G1430" s="2">
        <v>789.8</v>
      </c>
      <c r="H1430" s="2">
        <v>0</v>
      </c>
      <c r="I1430" s="2">
        <v>0</v>
      </c>
      <c r="J1430" s="2">
        <v>0</v>
      </c>
      <c r="K1430" s="2">
        <v>0</v>
      </c>
      <c r="L1430" s="2">
        <v>0</v>
      </c>
      <c r="M1430" s="2">
        <v>30</v>
      </c>
      <c r="N1430" s="2">
        <v>0</v>
      </c>
      <c r="O1430" s="2">
        <v>0</v>
      </c>
      <c r="P1430" s="2">
        <v>0</v>
      </c>
      <c r="Q1430" s="2">
        <v>0</v>
      </c>
      <c r="R1430" s="2">
        <v>0</v>
      </c>
      <c r="S1430" s="2">
        <v>0</v>
      </c>
      <c r="T1430" s="2">
        <v>0</v>
      </c>
      <c r="U1430" s="2">
        <v>0</v>
      </c>
      <c r="W1430" s="2">
        <v>0</v>
      </c>
      <c r="X1430" s="2">
        <v>819.8</v>
      </c>
    </row>
    <row r="1431" spans="1:24" x14ac:dyDescent="0.25">
      <c r="G1431" s="2" t="s">
        <v>2467</v>
      </c>
    </row>
    <row r="1432" spans="1:24" x14ac:dyDescent="0.25">
      <c r="A1432" s="2">
        <v>713</v>
      </c>
      <c r="B1432" s="2">
        <v>7577</v>
      </c>
      <c r="C1432" s="2" t="s">
        <v>2441</v>
      </c>
      <c r="D1432" s="2" t="s">
        <v>248</v>
      </c>
      <c r="E1432" s="2" t="s">
        <v>127</v>
      </c>
      <c r="F1432" s="2" t="s">
        <v>2468</v>
      </c>
      <c r="G1432" s="2">
        <v>789.8</v>
      </c>
      <c r="H1432" s="2">
        <v>0</v>
      </c>
      <c r="I1432" s="2">
        <v>0</v>
      </c>
      <c r="J1432" s="2">
        <v>0</v>
      </c>
      <c r="K1432" s="2">
        <v>0</v>
      </c>
      <c r="L1432" s="2">
        <v>0</v>
      </c>
      <c r="M1432" s="2">
        <v>30</v>
      </c>
      <c r="N1432" s="2">
        <v>0</v>
      </c>
      <c r="O1432" s="2">
        <v>0</v>
      </c>
      <c r="P1432" s="2">
        <v>0</v>
      </c>
      <c r="Q1432" s="2">
        <v>0</v>
      </c>
      <c r="R1432" s="2">
        <v>0</v>
      </c>
      <c r="S1432" s="2">
        <v>0</v>
      </c>
      <c r="T1432" s="2">
        <v>0</v>
      </c>
      <c r="U1432" s="2">
        <v>0</v>
      </c>
      <c r="W1432" s="2">
        <v>0</v>
      </c>
      <c r="X1432" s="2">
        <v>819.8</v>
      </c>
    </row>
    <row r="1433" spans="1:24" x14ac:dyDescent="0.25">
      <c r="G1433" s="2" t="s">
        <v>2469</v>
      </c>
    </row>
    <row r="1434" spans="1:24" x14ac:dyDescent="0.25">
      <c r="A1434" s="2">
        <v>714</v>
      </c>
      <c r="B1434" s="2">
        <v>16113</v>
      </c>
      <c r="C1434" s="2" t="s">
        <v>2470</v>
      </c>
      <c r="D1434" s="2" t="s">
        <v>194</v>
      </c>
      <c r="E1434" s="2" t="s">
        <v>51</v>
      </c>
      <c r="F1434" s="2" t="s">
        <v>2471</v>
      </c>
      <c r="G1434" s="2">
        <v>749.1</v>
      </c>
      <c r="H1434" s="2">
        <v>0</v>
      </c>
      <c r="I1434" s="2">
        <v>0</v>
      </c>
      <c r="J1434" s="2">
        <v>0</v>
      </c>
      <c r="K1434" s="2">
        <v>0</v>
      </c>
      <c r="L1434" s="2">
        <v>0</v>
      </c>
      <c r="M1434" s="2">
        <v>70</v>
      </c>
      <c r="N1434" s="2">
        <v>0</v>
      </c>
      <c r="O1434" s="2">
        <v>0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v>0</v>
      </c>
      <c r="W1434" s="2">
        <v>0</v>
      </c>
      <c r="X1434" s="2">
        <v>819.1</v>
      </c>
    </row>
    <row r="1435" spans="1:24" x14ac:dyDescent="0.25">
      <c r="G1435" s="2" t="s">
        <v>2472</v>
      </c>
    </row>
    <row r="1436" spans="1:24" x14ac:dyDescent="0.25">
      <c r="A1436" s="2">
        <v>715</v>
      </c>
      <c r="B1436" s="2">
        <v>14051</v>
      </c>
      <c r="C1436" s="2" t="s">
        <v>2473</v>
      </c>
      <c r="D1436" s="2" t="s">
        <v>90</v>
      </c>
      <c r="E1436" s="2" t="s">
        <v>16</v>
      </c>
      <c r="F1436" s="2" t="s">
        <v>2474</v>
      </c>
      <c r="G1436" s="2">
        <v>788.7</v>
      </c>
      <c r="H1436" s="2">
        <v>0</v>
      </c>
      <c r="I1436" s="2">
        <v>0</v>
      </c>
      <c r="J1436" s="2">
        <v>0</v>
      </c>
      <c r="K1436" s="2">
        <v>0</v>
      </c>
      <c r="L1436" s="2">
        <v>0</v>
      </c>
      <c r="M1436" s="2">
        <v>30</v>
      </c>
      <c r="N1436" s="2">
        <v>0</v>
      </c>
      <c r="O1436" s="2">
        <v>0</v>
      </c>
      <c r="P1436" s="2">
        <v>0</v>
      </c>
      <c r="Q1436" s="2">
        <v>0</v>
      </c>
      <c r="R1436" s="2">
        <v>0</v>
      </c>
      <c r="S1436" s="2">
        <v>0</v>
      </c>
      <c r="T1436" s="2">
        <v>0</v>
      </c>
      <c r="U1436" s="2">
        <v>0</v>
      </c>
      <c r="W1436" s="2">
        <v>0</v>
      </c>
      <c r="X1436" s="2">
        <v>818.7</v>
      </c>
    </row>
    <row r="1437" spans="1:24" x14ac:dyDescent="0.25">
      <c r="G1437" s="2" t="s">
        <v>2475</v>
      </c>
    </row>
    <row r="1438" spans="1:24" x14ac:dyDescent="0.25">
      <c r="A1438" s="2">
        <v>716</v>
      </c>
      <c r="B1438" s="2">
        <v>14486</v>
      </c>
      <c r="C1438" s="2" t="s">
        <v>2476</v>
      </c>
      <c r="D1438" s="2" t="s">
        <v>415</v>
      </c>
      <c r="E1438" s="2" t="s">
        <v>127</v>
      </c>
      <c r="F1438" s="2" t="s">
        <v>2477</v>
      </c>
      <c r="G1438" s="2">
        <v>788.7</v>
      </c>
      <c r="H1438" s="2">
        <v>0</v>
      </c>
      <c r="I1438" s="2">
        <v>0</v>
      </c>
      <c r="J1438" s="2">
        <v>0</v>
      </c>
      <c r="K1438" s="2">
        <v>0</v>
      </c>
      <c r="L1438" s="2">
        <v>0</v>
      </c>
      <c r="M1438" s="2">
        <v>30</v>
      </c>
      <c r="N1438" s="2">
        <v>0</v>
      </c>
      <c r="O1438" s="2">
        <v>0</v>
      </c>
      <c r="P1438" s="2">
        <v>0</v>
      </c>
      <c r="Q1438" s="2">
        <v>0</v>
      </c>
      <c r="R1438" s="2">
        <v>0</v>
      </c>
      <c r="S1438" s="2">
        <v>0</v>
      </c>
      <c r="T1438" s="2">
        <v>0</v>
      </c>
      <c r="U1438" s="2">
        <v>0</v>
      </c>
      <c r="W1438" s="2">
        <v>0</v>
      </c>
      <c r="X1438" s="2">
        <v>818.7</v>
      </c>
    </row>
    <row r="1439" spans="1:24" x14ac:dyDescent="0.25">
      <c r="G1439" s="2" t="s">
        <v>2478</v>
      </c>
    </row>
    <row r="1440" spans="1:24" x14ac:dyDescent="0.25">
      <c r="A1440" s="2">
        <v>717</v>
      </c>
      <c r="B1440" s="2">
        <v>6073</v>
      </c>
      <c r="C1440" s="2" t="s">
        <v>2479</v>
      </c>
      <c r="D1440" s="2" t="s">
        <v>821</v>
      </c>
      <c r="E1440" s="2" t="s">
        <v>73</v>
      </c>
      <c r="F1440" s="2" t="s">
        <v>2480</v>
      </c>
      <c r="G1440" s="2">
        <v>788.7</v>
      </c>
      <c r="H1440" s="2">
        <v>0</v>
      </c>
      <c r="I1440" s="2">
        <v>0</v>
      </c>
      <c r="J1440" s="2">
        <v>0</v>
      </c>
      <c r="K1440" s="2">
        <v>0</v>
      </c>
      <c r="L1440" s="2">
        <v>0</v>
      </c>
      <c r="M1440" s="2">
        <v>30</v>
      </c>
      <c r="N1440" s="2">
        <v>0</v>
      </c>
      <c r="O1440" s="2">
        <v>0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v>0</v>
      </c>
      <c r="W1440" s="2">
        <v>0</v>
      </c>
      <c r="X1440" s="2">
        <v>818.7</v>
      </c>
    </row>
    <row r="1441" spans="1:24" x14ac:dyDescent="0.25">
      <c r="G1441" s="2" t="s">
        <v>2481</v>
      </c>
    </row>
    <row r="1442" spans="1:24" x14ac:dyDescent="0.25">
      <c r="A1442" s="2">
        <v>718</v>
      </c>
      <c r="B1442" s="2">
        <v>5592</v>
      </c>
      <c r="C1442" s="2" t="s">
        <v>2482</v>
      </c>
      <c r="D1442" s="2" t="s">
        <v>56</v>
      </c>
      <c r="E1442" s="2" t="s">
        <v>73</v>
      </c>
      <c r="F1442" s="2" t="s">
        <v>2483</v>
      </c>
      <c r="G1442" s="2">
        <v>788.7</v>
      </c>
      <c r="H1442" s="2">
        <v>0</v>
      </c>
      <c r="I1442" s="2">
        <v>0</v>
      </c>
      <c r="J1442" s="2">
        <v>0</v>
      </c>
      <c r="K1442" s="2">
        <v>0</v>
      </c>
      <c r="L1442" s="2">
        <v>0</v>
      </c>
      <c r="M1442" s="2">
        <v>30</v>
      </c>
      <c r="N1442" s="2">
        <v>0</v>
      </c>
      <c r="O1442" s="2">
        <v>0</v>
      </c>
      <c r="P1442" s="2">
        <v>0</v>
      </c>
      <c r="Q1442" s="2">
        <v>0</v>
      </c>
      <c r="R1442" s="2">
        <v>0</v>
      </c>
      <c r="S1442" s="2">
        <v>0</v>
      </c>
      <c r="T1442" s="2">
        <v>0</v>
      </c>
      <c r="U1442" s="2">
        <v>0</v>
      </c>
      <c r="W1442" s="2">
        <v>0</v>
      </c>
      <c r="X1442" s="2">
        <v>818.7</v>
      </c>
    </row>
    <row r="1443" spans="1:24" x14ac:dyDescent="0.25">
      <c r="G1443" s="2" t="s">
        <v>2484</v>
      </c>
    </row>
    <row r="1444" spans="1:24" x14ac:dyDescent="0.25">
      <c r="A1444" s="2">
        <v>719</v>
      </c>
      <c r="B1444" s="2">
        <v>12390</v>
      </c>
      <c r="C1444" s="2" t="s">
        <v>2485</v>
      </c>
      <c r="D1444" s="2" t="s">
        <v>1407</v>
      </c>
      <c r="E1444" s="2" t="s">
        <v>133</v>
      </c>
      <c r="F1444" s="2" t="s">
        <v>2486</v>
      </c>
      <c r="G1444" s="2">
        <v>788.7</v>
      </c>
      <c r="H1444" s="2">
        <v>0</v>
      </c>
      <c r="I1444" s="2">
        <v>0</v>
      </c>
      <c r="J1444" s="2">
        <v>0</v>
      </c>
      <c r="K1444" s="2">
        <v>0</v>
      </c>
      <c r="L1444" s="2">
        <v>0</v>
      </c>
      <c r="M1444" s="2">
        <v>30</v>
      </c>
      <c r="N1444" s="2">
        <v>0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v>0</v>
      </c>
      <c r="W1444" s="2">
        <v>0</v>
      </c>
      <c r="X1444" s="2">
        <v>818.7</v>
      </c>
    </row>
    <row r="1445" spans="1:24" x14ac:dyDescent="0.25">
      <c r="G1445" s="2" t="s">
        <v>2487</v>
      </c>
    </row>
    <row r="1446" spans="1:24" x14ac:dyDescent="0.25">
      <c r="A1446" s="2">
        <v>720</v>
      </c>
      <c r="B1446" s="2">
        <v>11129</v>
      </c>
      <c r="C1446" s="2" t="s">
        <v>2488</v>
      </c>
      <c r="D1446" s="2" t="s">
        <v>89</v>
      </c>
      <c r="E1446" s="2" t="s">
        <v>1696</v>
      </c>
      <c r="F1446" s="2" t="s">
        <v>2489</v>
      </c>
      <c r="G1446" s="2">
        <v>818.4</v>
      </c>
      <c r="H1446" s="2">
        <v>0</v>
      </c>
      <c r="I1446" s="2">
        <v>0</v>
      </c>
      <c r="J1446" s="2">
        <v>0</v>
      </c>
      <c r="K1446" s="2">
        <v>0</v>
      </c>
      <c r="L1446" s="2">
        <v>0</v>
      </c>
      <c r="M1446" s="2">
        <v>0</v>
      </c>
      <c r="N1446" s="2">
        <v>0</v>
      </c>
      <c r="O1446" s="2">
        <v>0</v>
      </c>
      <c r="P1446" s="2">
        <v>0</v>
      </c>
      <c r="Q1446" s="2">
        <v>0</v>
      </c>
      <c r="R1446" s="2">
        <v>0</v>
      </c>
      <c r="S1446" s="2">
        <v>0</v>
      </c>
      <c r="T1446" s="2">
        <v>0</v>
      </c>
      <c r="U1446" s="2">
        <v>0</v>
      </c>
      <c r="W1446" s="2">
        <v>0</v>
      </c>
      <c r="X1446" s="2">
        <v>818.4</v>
      </c>
    </row>
    <row r="1447" spans="1:24" x14ac:dyDescent="0.25">
      <c r="G1447" s="2" t="s">
        <v>2490</v>
      </c>
    </row>
    <row r="1448" spans="1:24" x14ac:dyDescent="0.25">
      <c r="A1448" s="2">
        <v>721</v>
      </c>
      <c r="B1448" s="2">
        <v>16362</v>
      </c>
      <c r="C1448" s="2" t="s">
        <v>2491</v>
      </c>
      <c r="D1448" s="2" t="s">
        <v>933</v>
      </c>
      <c r="E1448" s="2" t="s">
        <v>90</v>
      </c>
      <c r="F1448" s="2" t="s">
        <v>2492</v>
      </c>
      <c r="G1448" s="2">
        <v>818.4</v>
      </c>
      <c r="H1448" s="2">
        <v>0</v>
      </c>
      <c r="I1448" s="2">
        <v>0</v>
      </c>
      <c r="J1448" s="2">
        <v>0</v>
      </c>
      <c r="K1448" s="2">
        <v>0</v>
      </c>
      <c r="L1448" s="2">
        <v>0</v>
      </c>
      <c r="M1448" s="2">
        <v>0</v>
      </c>
      <c r="N1448" s="2">
        <v>0</v>
      </c>
      <c r="O1448" s="2">
        <v>0</v>
      </c>
      <c r="P1448" s="2">
        <v>0</v>
      </c>
      <c r="Q1448" s="2">
        <v>0</v>
      </c>
      <c r="R1448" s="2">
        <v>0</v>
      </c>
      <c r="S1448" s="2">
        <v>0</v>
      </c>
      <c r="T1448" s="2">
        <v>0</v>
      </c>
      <c r="U1448" s="2">
        <v>0</v>
      </c>
      <c r="W1448" s="2">
        <v>0</v>
      </c>
      <c r="X1448" s="2">
        <v>818.4</v>
      </c>
    </row>
    <row r="1449" spans="1:24" x14ac:dyDescent="0.25">
      <c r="G1449" s="2" t="s">
        <v>2493</v>
      </c>
    </row>
    <row r="1450" spans="1:24" x14ac:dyDescent="0.25">
      <c r="A1450" s="2">
        <v>722</v>
      </c>
      <c r="B1450" s="2">
        <v>11613</v>
      </c>
      <c r="C1450" s="2" t="s">
        <v>2494</v>
      </c>
      <c r="D1450" s="2" t="s">
        <v>98</v>
      </c>
      <c r="E1450" s="2" t="s">
        <v>2495</v>
      </c>
      <c r="F1450" s="2" t="s">
        <v>2496</v>
      </c>
      <c r="G1450" s="2">
        <v>818.4</v>
      </c>
      <c r="H1450" s="2">
        <v>0</v>
      </c>
      <c r="I1450" s="2">
        <v>0</v>
      </c>
      <c r="J1450" s="2">
        <v>0</v>
      </c>
      <c r="K1450" s="2">
        <v>0</v>
      </c>
      <c r="L1450" s="2">
        <v>0</v>
      </c>
      <c r="M1450" s="2">
        <v>0</v>
      </c>
      <c r="N1450" s="2">
        <v>0</v>
      </c>
      <c r="O1450" s="2">
        <v>0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v>0</v>
      </c>
      <c r="W1450" s="2">
        <v>0</v>
      </c>
      <c r="X1450" s="2">
        <v>818.4</v>
      </c>
    </row>
    <row r="1451" spans="1:24" x14ac:dyDescent="0.25">
      <c r="G1451" s="2" t="s">
        <v>2497</v>
      </c>
    </row>
    <row r="1452" spans="1:24" x14ac:dyDescent="0.25">
      <c r="A1452" s="2">
        <v>723</v>
      </c>
      <c r="B1452" s="2">
        <v>12155</v>
      </c>
      <c r="C1452" s="2" t="s">
        <v>2498</v>
      </c>
      <c r="D1452" s="2" t="s">
        <v>235</v>
      </c>
      <c r="E1452" s="2" t="s">
        <v>354</v>
      </c>
      <c r="F1452" s="2" t="s">
        <v>2499</v>
      </c>
      <c r="G1452" s="2">
        <v>818.4</v>
      </c>
      <c r="H1452" s="2">
        <v>0</v>
      </c>
      <c r="I1452" s="2">
        <v>0</v>
      </c>
      <c r="J1452" s="2">
        <v>0</v>
      </c>
      <c r="K1452" s="2">
        <v>0</v>
      </c>
      <c r="L1452" s="2">
        <v>0</v>
      </c>
      <c r="M1452" s="2">
        <v>0</v>
      </c>
      <c r="N1452" s="2">
        <v>0</v>
      </c>
      <c r="O1452" s="2">
        <v>0</v>
      </c>
      <c r="P1452" s="2">
        <v>0</v>
      </c>
      <c r="Q1452" s="2">
        <v>0</v>
      </c>
      <c r="R1452" s="2">
        <v>0</v>
      </c>
      <c r="S1452" s="2">
        <v>0</v>
      </c>
      <c r="T1452" s="2">
        <v>0</v>
      </c>
      <c r="U1452" s="2">
        <v>0</v>
      </c>
      <c r="W1452" s="2">
        <v>0</v>
      </c>
      <c r="X1452" s="2">
        <v>818.4</v>
      </c>
    </row>
    <row r="1453" spans="1:24" x14ac:dyDescent="0.25">
      <c r="G1453" s="2" t="s">
        <v>2500</v>
      </c>
    </row>
    <row r="1454" spans="1:24" x14ac:dyDescent="0.25">
      <c r="A1454" s="2">
        <v>724</v>
      </c>
      <c r="B1454" s="2">
        <v>439</v>
      </c>
      <c r="C1454" s="2" t="s">
        <v>2501</v>
      </c>
      <c r="D1454" s="2" t="s">
        <v>921</v>
      </c>
      <c r="E1454" s="2" t="s">
        <v>138</v>
      </c>
      <c r="F1454" s="2" t="s">
        <v>2502</v>
      </c>
      <c r="G1454" s="2">
        <v>748</v>
      </c>
      <c r="H1454" s="2">
        <v>0</v>
      </c>
      <c r="I1454" s="2">
        <v>0</v>
      </c>
      <c r="J1454" s="2">
        <v>0</v>
      </c>
      <c r="K1454" s="2">
        <v>0</v>
      </c>
      <c r="L1454" s="2">
        <v>0</v>
      </c>
      <c r="M1454" s="2">
        <v>70</v>
      </c>
      <c r="N1454" s="2">
        <v>0</v>
      </c>
      <c r="O1454" s="2">
        <v>0</v>
      </c>
      <c r="P1454" s="2">
        <v>0</v>
      </c>
      <c r="Q1454" s="2">
        <v>0</v>
      </c>
      <c r="R1454" s="2">
        <v>0</v>
      </c>
      <c r="S1454" s="2">
        <v>0</v>
      </c>
      <c r="T1454" s="2">
        <v>0</v>
      </c>
      <c r="U1454" s="2">
        <v>0</v>
      </c>
      <c r="W1454" s="2">
        <v>0</v>
      </c>
      <c r="X1454" s="2">
        <v>818</v>
      </c>
    </row>
    <row r="1455" spans="1:24" x14ac:dyDescent="0.25">
      <c r="G1455" s="2" t="s">
        <v>2503</v>
      </c>
    </row>
    <row r="1456" spans="1:24" x14ac:dyDescent="0.25">
      <c r="A1456" s="2">
        <v>725</v>
      </c>
      <c r="B1456" s="2">
        <v>11398</v>
      </c>
      <c r="C1456" s="2" t="s">
        <v>1708</v>
      </c>
      <c r="D1456" s="2" t="s">
        <v>373</v>
      </c>
      <c r="E1456" s="2" t="s">
        <v>39</v>
      </c>
      <c r="F1456" s="2" t="s">
        <v>2504</v>
      </c>
      <c r="G1456" s="2">
        <v>748</v>
      </c>
      <c r="H1456" s="2">
        <v>0</v>
      </c>
      <c r="I1456" s="2">
        <v>0</v>
      </c>
      <c r="J1456" s="2">
        <v>0</v>
      </c>
      <c r="K1456" s="2">
        <v>0</v>
      </c>
      <c r="L1456" s="2">
        <v>0</v>
      </c>
      <c r="M1456" s="2">
        <v>70</v>
      </c>
      <c r="N1456" s="2">
        <v>0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v>0</v>
      </c>
      <c r="W1456" s="2">
        <v>1</v>
      </c>
      <c r="X1456" s="2">
        <v>818</v>
      </c>
    </row>
    <row r="1457" spans="1:24" x14ac:dyDescent="0.25">
      <c r="G1457" s="2" t="s">
        <v>2505</v>
      </c>
    </row>
    <row r="1458" spans="1:24" x14ac:dyDescent="0.25">
      <c r="A1458" s="2">
        <v>726</v>
      </c>
      <c r="B1458" s="2">
        <v>9914</v>
      </c>
      <c r="C1458" s="2" t="s">
        <v>2506</v>
      </c>
      <c r="D1458" s="2" t="s">
        <v>2507</v>
      </c>
      <c r="E1458" s="2" t="s">
        <v>302</v>
      </c>
      <c r="F1458" s="2" t="s">
        <v>2508</v>
      </c>
      <c r="G1458" s="2">
        <v>767.8</v>
      </c>
      <c r="H1458" s="2">
        <v>0</v>
      </c>
      <c r="I1458" s="2">
        <v>0</v>
      </c>
      <c r="J1458" s="2">
        <v>0</v>
      </c>
      <c r="K1458" s="2">
        <v>0</v>
      </c>
      <c r="L1458" s="2">
        <v>0</v>
      </c>
      <c r="M1458" s="2">
        <v>50</v>
      </c>
      <c r="N1458" s="2">
        <v>0</v>
      </c>
      <c r="O1458" s="2">
        <v>0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v>0</v>
      </c>
      <c r="W1458" s="2">
        <v>0</v>
      </c>
      <c r="X1458" s="2">
        <v>817.8</v>
      </c>
    </row>
    <row r="1459" spans="1:24" x14ac:dyDescent="0.25">
      <c r="G1459" s="2" t="s">
        <v>2509</v>
      </c>
    </row>
    <row r="1460" spans="1:24" x14ac:dyDescent="0.25">
      <c r="A1460" s="2">
        <v>727</v>
      </c>
      <c r="B1460" s="2">
        <v>4848</v>
      </c>
      <c r="C1460" s="2" t="s">
        <v>2510</v>
      </c>
      <c r="D1460" s="2" t="s">
        <v>182</v>
      </c>
      <c r="E1460" s="2" t="s">
        <v>194</v>
      </c>
      <c r="F1460" s="2" t="s">
        <v>2511</v>
      </c>
      <c r="G1460" s="2">
        <v>787.6</v>
      </c>
      <c r="H1460" s="2">
        <v>0</v>
      </c>
      <c r="I1460" s="2">
        <v>0</v>
      </c>
      <c r="J1460" s="2">
        <v>0</v>
      </c>
      <c r="K1460" s="2">
        <v>0</v>
      </c>
      <c r="L1460" s="2">
        <v>0</v>
      </c>
      <c r="M1460" s="2">
        <v>30</v>
      </c>
      <c r="N1460" s="2">
        <v>0</v>
      </c>
      <c r="O1460" s="2">
        <v>0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v>0</v>
      </c>
      <c r="W1460" s="2">
        <v>0</v>
      </c>
      <c r="X1460" s="2">
        <v>817.6</v>
      </c>
    </row>
    <row r="1461" spans="1:24" x14ac:dyDescent="0.25">
      <c r="G1461" s="2" t="s">
        <v>2512</v>
      </c>
    </row>
    <row r="1462" spans="1:24" x14ac:dyDescent="0.25">
      <c r="A1462" s="2">
        <v>728</v>
      </c>
      <c r="B1462" s="2">
        <v>509</v>
      </c>
      <c r="C1462" s="2" t="s">
        <v>2513</v>
      </c>
      <c r="D1462" s="2" t="s">
        <v>2514</v>
      </c>
      <c r="E1462" s="2" t="s">
        <v>133</v>
      </c>
      <c r="F1462" s="2" t="s">
        <v>2515</v>
      </c>
      <c r="G1462" s="2">
        <v>787.6</v>
      </c>
      <c r="H1462" s="2">
        <v>0</v>
      </c>
      <c r="I1462" s="2">
        <v>0</v>
      </c>
      <c r="J1462" s="2">
        <v>0</v>
      </c>
      <c r="K1462" s="2">
        <v>0</v>
      </c>
      <c r="L1462" s="2">
        <v>0</v>
      </c>
      <c r="M1462" s="2">
        <v>30</v>
      </c>
      <c r="N1462" s="2">
        <v>0</v>
      </c>
      <c r="O1462" s="2">
        <v>0</v>
      </c>
      <c r="P1462" s="2">
        <v>0</v>
      </c>
      <c r="Q1462" s="2">
        <v>0</v>
      </c>
      <c r="R1462" s="2">
        <v>0</v>
      </c>
      <c r="S1462" s="2">
        <v>0</v>
      </c>
      <c r="T1462" s="2">
        <v>0</v>
      </c>
      <c r="U1462" s="2">
        <v>0</v>
      </c>
      <c r="W1462" s="2">
        <v>0</v>
      </c>
      <c r="X1462" s="2">
        <v>817.6</v>
      </c>
    </row>
    <row r="1463" spans="1:24" x14ac:dyDescent="0.25">
      <c r="G1463" s="2" t="s">
        <v>2516</v>
      </c>
    </row>
    <row r="1464" spans="1:24" x14ac:dyDescent="0.25">
      <c r="A1464" s="2">
        <v>729</v>
      </c>
      <c r="B1464" s="2">
        <v>15780</v>
      </c>
      <c r="C1464" s="2" t="s">
        <v>897</v>
      </c>
      <c r="D1464" s="2" t="s">
        <v>112</v>
      </c>
      <c r="E1464" s="2" t="s">
        <v>456</v>
      </c>
      <c r="F1464" s="2" t="s">
        <v>2517</v>
      </c>
      <c r="G1464" s="2">
        <v>817.3</v>
      </c>
      <c r="H1464" s="2">
        <v>0</v>
      </c>
      <c r="I1464" s="2">
        <v>0</v>
      </c>
      <c r="J1464" s="2">
        <v>0</v>
      </c>
      <c r="K1464" s="2">
        <v>0</v>
      </c>
      <c r="L1464" s="2">
        <v>0</v>
      </c>
      <c r="M1464" s="2">
        <v>0</v>
      </c>
      <c r="N1464" s="2">
        <v>0</v>
      </c>
      <c r="O1464" s="2">
        <v>0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v>0</v>
      </c>
      <c r="W1464" s="2">
        <v>0</v>
      </c>
      <c r="X1464" s="2">
        <v>817.3</v>
      </c>
    </row>
    <row r="1465" spans="1:24" x14ac:dyDescent="0.25">
      <c r="G1465" s="2" t="s">
        <v>2518</v>
      </c>
    </row>
    <row r="1466" spans="1:24" x14ac:dyDescent="0.25">
      <c r="A1466" s="2">
        <v>730</v>
      </c>
      <c r="B1466" s="2">
        <v>2149</v>
      </c>
      <c r="C1466" s="2" t="s">
        <v>2519</v>
      </c>
      <c r="D1466" s="2" t="s">
        <v>2520</v>
      </c>
      <c r="E1466" s="2" t="s">
        <v>1492</v>
      </c>
      <c r="F1466" s="2" t="s">
        <v>2521</v>
      </c>
      <c r="G1466" s="2">
        <v>817.3</v>
      </c>
      <c r="H1466" s="2">
        <v>0</v>
      </c>
      <c r="I1466" s="2">
        <v>0</v>
      </c>
      <c r="J1466" s="2">
        <v>0</v>
      </c>
      <c r="K1466" s="2">
        <v>0</v>
      </c>
      <c r="L1466" s="2">
        <v>0</v>
      </c>
      <c r="M1466" s="2">
        <v>0</v>
      </c>
      <c r="N1466" s="2">
        <v>0</v>
      </c>
      <c r="O1466" s="2">
        <v>0</v>
      </c>
      <c r="P1466" s="2">
        <v>0</v>
      </c>
      <c r="Q1466" s="2">
        <v>0</v>
      </c>
      <c r="R1466" s="2">
        <v>0</v>
      </c>
      <c r="S1466" s="2">
        <v>0</v>
      </c>
      <c r="T1466" s="2">
        <v>0</v>
      </c>
      <c r="U1466" s="2">
        <v>0</v>
      </c>
      <c r="W1466" s="2">
        <v>0</v>
      </c>
      <c r="X1466" s="2">
        <v>817.3</v>
      </c>
    </row>
    <row r="1467" spans="1:24" x14ac:dyDescent="0.25">
      <c r="G1467" s="2" t="s">
        <v>2522</v>
      </c>
    </row>
    <row r="1468" spans="1:24" x14ac:dyDescent="0.25">
      <c r="A1468" s="2">
        <v>731</v>
      </c>
      <c r="B1468" s="2">
        <v>323</v>
      </c>
      <c r="C1468" s="2" t="s">
        <v>2523</v>
      </c>
      <c r="D1468" s="2" t="s">
        <v>279</v>
      </c>
      <c r="E1468" s="2" t="s">
        <v>138</v>
      </c>
      <c r="F1468" s="2" t="s">
        <v>2524</v>
      </c>
      <c r="G1468" s="2">
        <v>766.7</v>
      </c>
      <c r="H1468" s="2">
        <v>0</v>
      </c>
      <c r="I1468" s="2">
        <v>0</v>
      </c>
      <c r="J1468" s="2">
        <v>0</v>
      </c>
      <c r="K1468" s="2">
        <v>0</v>
      </c>
      <c r="L1468" s="2">
        <v>0</v>
      </c>
      <c r="M1468" s="2">
        <v>50</v>
      </c>
      <c r="N1468" s="2">
        <v>0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v>0</v>
      </c>
      <c r="W1468" s="2">
        <v>0</v>
      </c>
      <c r="X1468" s="2">
        <v>816.7</v>
      </c>
    </row>
    <row r="1469" spans="1:24" x14ac:dyDescent="0.25">
      <c r="G1469" s="2" t="s">
        <v>2525</v>
      </c>
    </row>
    <row r="1470" spans="1:24" x14ac:dyDescent="0.25">
      <c r="A1470" s="2">
        <v>732</v>
      </c>
      <c r="B1470" s="2">
        <v>14070</v>
      </c>
      <c r="C1470" s="2" t="s">
        <v>2526</v>
      </c>
      <c r="D1470" s="2" t="s">
        <v>235</v>
      </c>
      <c r="E1470" s="2" t="s">
        <v>2527</v>
      </c>
      <c r="F1470" s="2" t="s">
        <v>2528</v>
      </c>
      <c r="G1470" s="2">
        <v>766.7</v>
      </c>
      <c r="H1470" s="2">
        <v>0</v>
      </c>
      <c r="I1470" s="2">
        <v>0</v>
      </c>
      <c r="J1470" s="2">
        <v>0</v>
      </c>
      <c r="K1470" s="2">
        <v>0</v>
      </c>
      <c r="L1470" s="2">
        <v>0</v>
      </c>
      <c r="M1470" s="2">
        <v>50</v>
      </c>
      <c r="N1470" s="2">
        <v>0</v>
      </c>
      <c r="O1470" s="2">
        <v>0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v>0</v>
      </c>
      <c r="W1470" s="2">
        <v>0</v>
      </c>
      <c r="X1470" s="2">
        <v>816.7</v>
      </c>
    </row>
    <row r="1471" spans="1:24" x14ac:dyDescent="0.25">
      <c r="G1471" s="2" t="s">
        <v>2529</v>
      </c>
    </row>
    <row r="1472" spans="1:24" x14ac:dyDescent="0.25">
      <c r="A1472" s="2">
        <v>733</v>
      </c>
      <c r="B1472" s="2">
        <v>13057</v>
      </c>
      <c r="C1472" s="2" t="s">
        <v>2530</v>
      </c>
      <c r="D1472" s="2" t="s">
        <v>264</v>
      </c>
      <c r="E1472" s="2" t="s">
        <v>127</v>
      </c>
      <c r="F1472" s="2" t="s">
        <v>2531</v>
      </c>
      <c r="G1472" s="2">
        <v>786.5</v>
      </c>
      <c r="H1472" s="2">
        <v>0</v>
      </c>
      <c r="I1472" s="2">
        <v>0</v>
      </c>
      <c r="J1472" s="2">
        <v>0</v>
      </c>
      <c r="K1472" s="2">
        <v>0</v>
      </c>
      <c r="L1472" s="2">
        <v>0</v>
      </c>
      <c r="M1472" s="2">
        <v>30</v>
      </c>
      <c r="N1472" s="2">
        <v>0</v>
      </c>
      <c r="O1472" s="2">
        <v>0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v>0</v>
      </c>
      <c r="W1472" s="2">
        <v>0</v>
      </c>
      <c r="X1472" s="2">
        <v>816.5</v>
      </c>
    </row>
    <row r="1473" spans="1:24" x14ac:dyDescent="0.25">
      <c r="G1473" s="2" t="s">
        <v>2532</v>
      </c>
    </row>
    <row r="1474" spans="1:24" x14ac:dyDescent="0.25">
      <c r="A1474" s="2">
        <v>734</v>
      </c>
      <c r="B1474" s="2">
        <v>14578</v>
      </c>
      <c r="C1474" s="2" t="s">
        <v>2533</v>
      </c>
      <c r="D1474" s="2" t="s">
        <v>430</v>
      </c>
      <c r="E1474" s="2" t="s">
        <v>194</v>
      </c>
      <c r="F1474" s="2" t="s">
        <v>2534</v>
      </c>
      <c r="G1474" s="2">
        <v>745.8</v>
      </c>
      <c r="H1474" s="2">
        <v>0</v>
      </c>
      <c r="I1474" s="2">
        <v>0</v>
      </c>
      <c r="J1474" s="2">
        <v>0</v>
      </c>
      <c r="K1474" s="2">
        <v>0</v>
      </c>
      <c r="L1474" s="2">
        <v>0</v>
      </c>
      <c r="M1474" s="2">
        <v>70</v>
      </c>
      <c r="N1474" s="2">
        <v>0</v>
      </c>
      <c r="O1474" s="2">
        <v>0</v>
      </c>
      <c r="P1474" s="2">
        <v>0</v>
      </c>
      <c r="Q1474" s="2">
        <v>0</v>
      </c>
      <c r="R1474" s="2">
        <v>0</v>
      </c>
      <c r="S1474" s="2">
        <v>0</v>
      </c>
      <c r="T1474" s="2">
        <v>0</v>
      </c>
      <c r="U1474" s="2">
        <v>0</v>
      </c>
      <c r="W1474" s="2">
        <v>0</v>
      </c>
      <c r="X1474" s="2">
        <v>815.8</v>
      </c>
    </row>
    <row r="1475" spans="1:24" x14ac:dyDescent="0.25">
      <c r="G1475" s="2" t="s">
        <v>2535</v>
      </c>
    </row>
    <row r="1476" spans="1:24" x14ac:dyDescent="0.25">
      <c r="A1476" s="2">
        <v>735</v>
      </c>
      <c r="B1476" s="2">
        <v>1311</v>
      </c>
      <c r="C1476" s="2" t="s">
        <v>2536</v>
      </c>
      <c r="D1476" s="2" t="s">
        <v>2537</v>
      </c>
      <c r="E1476" s="2" t="s">
        <v>2538</v>
      </c>
      <c r="F1476" s="2" t="s">
        <v>2539</v>
      </c>
      <c r="G1476" s="2">
        <v>765.6</v>
      </c>
      <c r="H1476" s="2">
        <v>0</v>
      </c>
      <c r="I1476" s="2">
        <v>0</v>
      </c>
      <c r="J1476" s="2">
        <v>0</v>
      </c>
      <c r="K1476" s="2">
        <v>0</v>
      </c>
      <c r="L1476" s="2">
        <v>0</v>
      </c>
      <c r="M1476" s="2">
        <v>50</v>
      </c>
      <c r="N1476" s="2">
        <v>0</v>
      </c>
      <c r="O1476" s="2">
        <v>0</v>
      </c>
      <c r="P1476" s="2">
        <v>0</v>
      </c>
      <c r="Q1476" s="2">
        <v>0</v>
      </c>
      <c r="R1476" s="2">
        <v>0</v>
      </c>
      <c r="S1476" s="2">
        <v>0</v>
      </c>
      <c r="T1476" s="2">
        <v>0</v>
      </c>
      <c r="U1476" s="2">
        <v>0</v>
      </c>
      <c r="W1476" s="2">
        <v>0</v>
      </c>
      <c r="X1476" s="2">
        <v>815.6</v>
      </c>
    </row>
    <row r="1477" spans="1:24" x14ac:dyDescent="0.25">
      <c r="G1477" s="2" t="s">
        <v>2540</v>
      </c>
    </row>
    <row r="1478" spans="1:24" x14ac:dyDescent="0.25">
      <c r="A1478" s="2">
        <v>736</v>
      </c>
      <c r="B1478" s="2">
        <v>1191</v>
      </c>
      <c r="C1478" s="2" t="s">
        <v>2541</v>
      </c>
      <c r="D1478" s="2" t="s">
        <v>2542</v>
      </c>
      <c r="E1478" s="2" t="s">
        <v>2543</v>
      </c>
      <c r="F1478" s="2" t="s">
        <v>2544</v>
      </c>
      <c r="G1478" s="2">
        <v>785.4</v>
      </c>
      <c r="H1478" s="2">
        <v>0</v>
      </c>
      <c r="I1478" s="2">
        <v>0</v>
      </c>
      <c r="J1478" s="2">
        <v>0</v>
      </c>
      <c r="K1478" s="2">
        <v>0</v>
      </c>
      <c r="L1478" s="2">
        <v>0</v>
      </c>
      <c r="M1478" s="2">
        <v>30</v>
      </c>
      <c r="N1478" s="2">
        <v>0</v>
      </c>
      <c r="O1478" s="2">
        <v>0</v>
      </c>
      <c r="P1478" s="2">
        <v>0</v>
      </c>
      <c r="Q1478" s="2">
        <v>0</v>
      </c>
      <c r="R1478" s="2">
        <v>0</v>
      </c>
      <c r="S1478" s="2">
        <v>0</v>
      </c>
      <c r="T1478" s="2">
        <v>0</v>
      </c>
      <c r="U1478" s="2">
        <v>0</v>
      </c>
      <c r="W1478" s="2">
        <v>0</v>
      </c>
      <c r="X1478" s="2">
        <v>815.4</v>
      </c>
    </row>
    <row r="1479" spans="1:24" x14ac:dyDescent="0.25">
      <c r="G1479" s="2" t="s">
        <v>2545</v>
      </c>
    </row>
    <row r="1480" spans="1:24" x14ac:dyDescent="0.25">
      <c r="A1480" s="2">
        <v>737</v>
      </c>
      <c r="B1480" s="2">
        <v>3093</v>
      </c>
      <c r="C1480" s="2" t="s">
        <v>2546</v>
      </c>
      <c r="D1480" s="2" t="s">
        <v>94</v>
      </c>
      <c r="E1480" s="2" t="s">
        <v>346</v>
      </c>
      <c r="F1480" s="2" t="s">
        <v>2547</v>
      </c>
      <c r="G1480" s="2">
        <v>785.4</v>
      </c>
      <c r="H1480" s="2">
        <v>0</v>
      </c>
      <c r="I1480" s="2">
        <v>0</v>
      </c>
      <c r="J1480" s="2">
        <v>0</v>
      </c>
      <c r="K1480" s="2">
        <v>0</v>
      </c>
      <c r="L1480" s="2">
        <v>0</v>
      </c>
      <c r="M1480" s="2">
        <v>30</v>
      </c>
      <c r="N1480" s="2">
        <v>0</v>
      </c>
      <c r="O1480" s="2">
        <v>0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v>0</v>
      </c>
      <c r="W1480" s="2">
        <v>0</v>
      </c>
      <c r="X1480" s="2">
        <v>815.4</v>
      </c>
    </row>
    <row r="1481" spans="1:24" x14ac:dyDescent="0.25">
      <c r="G1481" s="2" t="s">
        <v>2548</v>
      </c>
    </row>
    <row r="1482" spans="1:24" x14ac:dyDescent="0.25">
      <c r="A1482" s="2">
        <v>738</v>
      </c>
      <c r="B1482" s="2">
        <v>9240</v>
      </c>
      <c r="C1482" s="2" t="s">
        <v>2549</v>
      </c>
      <c r="D1482" s="2" t="s">
        <v>164</v>
      </c>
      <c r="E1482" s="2" t="s">
        <v>73</v>
      </c>
      <c r="F1482" s="2" t="s">
        <v>2550</v>
      </c>
      <c r="G1482" s="2">
        <v>785.4</v>
      </c>
      <c r="H1482" s="2">
        <v>0</v>
      </c>
      <c r="I1482" s="2">
        <v>0</v>
      </c>
      <c r="J1482" s="2">
        <v>0</v>
      </c>
      <c r="K1482" s="2">
        <v>0</v>
      </c>
      <c r="L1482" s="2">
        <v>0</v>
      </c>
      <c r="M1482" s="2">
        <v>30</v>
      </c>
      <c r="N1482" s="2">
        <v>0</v>
      </c>
      <c r="O1482" s="2">
        <v>0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v>0</v>
      </c>
      <c r="W1482" s="2">
        <v>0</v>
      </c>
      <c r="X1482" s="2">
        <v>815.4</v>
      </c>
    </row>
    <row r="1483" spans="1:24" x14ac:dyDescent="0.25">
      <c r="G1483" s="2" t="s">
        <v>2551</v>
      </c>
    </row>
    <row r="1484" spans="1:24" x14ac:dyDescent="0.25">
      <c r="A1484" s="2">
        <v>739</v>
      </c>
      <c r="B1484" s="2">
        <v>7005</v>
      </c>
      <c r="C1484" s="2" t="s">
        <v>2552</v>
      </c>
      <c r="D1484" s="2" t="s">
        <v>90</v>
      </c>
      <c r="E1484" s="2" t="s">
        <v>2553</v>
      </c>
      <c r="F1484" s="2" t="s">
        <v>2554</v>
      </c>
      <c r="G1484" s="2">
        <v>785.4</v>
      </c>
      <c r="H1484" s="2">
        <v>0</v>
      </c>
      <c r="I1484" s="2">
        <v>0</v>
      </c>
      <c r="J1484" s="2">
        <v>0</v>
      </c>
      <c r="K1484" s="2">
        <v>0</v>
      </c>
      <c r="L1484" s="2">
        <v>0</v>
      </c>
      <c r="M1484" s="2">
        <v>30</v>
      </c>
      <c r="N1484" s="2">
        <v>0</v>
      </c>
      <c r="O1484" s="2">
        <v>0</v>
      </c>
      <c r="P1484" s="2">
        <v>0</v>
      </c>
      <c r="Q1484" s="2">
        <v>0</v>
      </c>
      <c r="R1484" s="2">
        <v>0</v>
      </c>
      <c r="S1484" s="2">
        <v>0</v>
      </c>
      <c r="T1484" s="2">
        <v>0</v>
      </c>
      <c r="U1484" s="2">
        <v>0</v>
      </c>
      <c r="W1484" s="2">
        <v>0</v>
      </c>
      <c r="X1484" s="2">
        <v>815.4</v>
      </c>
    </row>
    <row r="1485" spans="1:24" x14ac:dyDescent="0.25">
      <c r="G1485" s="2" t="s">
        <v>2555</v>
      </c>
    </row>
    <row r="1486" spans="1:24" x14ac:dyDescent="0.25">
      <c r="A1486" s="2">
        <v>740</v>
      </c>
      <c r="B1486" s="2">
        <v>5921</v>
      </c>
      <c r="C1486" s="2" t="s">
        <v>2556</v>
      </c>
      <c r="D1486" s="2" t="s">
        <v>965</v>
      </c>
      <c r="E1486" s="2" t="s">
        <v>127</v>
      </c>
      <c r="F1486" s="2" t="s">
        <v>2557</v>
      </c>
      <c r="G1486" s="2">
        <v>785.4</v>
      </c>
      <c r="H1486" s="2">
        <v>0</v>
      </c>
      <c r="I1486" s="2">
        <v>0</v>
      </c>
      <c r="J1486" s="2">
        <v>0</v>
      </c>
      <c r="K1486" s="2">
        <v>0</v>
      </c>
      <c r="L1486" s="2">
        <v>0</v>
      </c>
      <c r="M1486" s="2">
        <v>30</v>
      </c>
      <c r="N1486" s="2">
        <v>0</v>
      </c>
      <c r="O1486" s="2">
        <v>0</v>
      </c>
      <c r="P1486" s="2">
        <v>0</v>
      </c>
      <c r="Q1486" s="2">
        <v>0</v>
      </c>
      <c r="R1486" s="2">
        <v>0</v>
      </c>
      <c r="S1486" s="2">
        <v>0</v>
      </c>
      <c r="T1486" s="2">
        <v>0</v>
      </c>
      <c r="U1486" s="2">
        <v>0</v>
      </c>
      <c r="W1486" s="2">
        <v>0</v>
      </c>
      <c r="X1486" s="2">
        <v>815.4</v>
      </c>
    </row>
    <row r="1487" spans="1:24" x14ac:dyDescent="0.25">
      <c r="G1487" s="2" t="s">
        <v>2558</v>
      </c>
    </row>
    <row r="1488" spans="1:24" x14ac:dyDescent="0.25">
      <c r="A1488" s="2">
        <v>741</v>
      </c>
      <c r="B1488" s="2">
        <v>13951</v>
      </c>
      <c r="C1488" s="2" t="s">
        <v>2559</v>
      </c>
      <c r="D1488" s="2" t="s">
        <v>2560</v>
      </c>
      <c r="E1488" s="2" t="s">
        <v>16</v>
      </c>
      <c r="F1488" s="2" t="s">
        <v>2561</v>
      </c>
      <c r="G1488" s="2">
        <v>815.1</v>
      </c>
      <c r="H1488" s="2">
        <v>0</v>
      </c>
      <c r="I1488" s="2">
        <v>0</v>
      </c>
      <c r="J1488" s="2">
        <v>0</v>
      </c>
      <c r="K1488" s="2">
        <v>0</v>
      </c>
      <c r="L1488" s="2">
        <v>0</v>
      </c>
      <c r="M1488" s="2">
        <v>0</v>
      </c>
      <c r="N1488" s="2">
        <v>0</v>
      </c>
      <c r="O1488" s="2">
        <v>0</v>
      </c>
      <c r="P1488" s="2">
        <v>0</v>
      </c>
      <c r="Q1488" s="2">
        <v>0</v>
      </c>
      <c r="R1488" s="2">
        <v>0</v>
      </c>
      <c r="S1488" s="2">
        <v>0</v>
      </c>
      <c r="T1488" s="2">
        <v>0</v>
      </c>
      <c r="U1488" s="2">
        <v>0</v>
      </c>
      <c r="W1488" s="2">
        <v>0</v>
      </c>
      <c r="X1488" s="2">
        <v>815.1</v>
      </c>
    </row>
    <row r="1489" spans="1:24" x14ac:dyDescent="0.25">
      <c r="G1489" s="2" t="s">
        <v>2562</v>
      </c>
    </row>
    <row r="1490" spans="1:24" x14ac:dyDescent="0.25">
      <c r="A1490" s="2">
        <v>742</v>
      </c>
      <c r="B1490" s="2">
        <v>8366</v>
      </c>
      <c r="C1490" s="2" t="s">
        <v>2563</v>
      </c>
      <c r="D1490" s="2" t="s">
        <v>50</v>
      </c>
      <c r="E1490" s="2" t="s">
        <v>354</v>
      </c>
      <c r="F1490" s="2" t="s">
        <v>2564</v>
      </c>
      <c r="G1490" s="2">
        <v>784.3</v>
      </c>
      <c r="H1490" s="2">
        <v>0</v>
      </c>
      <c r="I1490" s="2">
        <v>0</v>
      </c>
      <c r="J1490" s="2">
        <v>0</v>
      </c>
      <c r="K1490" s="2">
        <v>0</v>
      </c>
      <c r="L1490" s="2">
        <v>0</v>
      </c>
      <c r="M1490" s="2">
        <v>30</v>
      </c>
      <c r="N1490" s="2">
        <v>0</v>
      </c>
      <c r="O1490" s="2">
        <v>0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v>0</v>
      </c>
      <c r="W1490" s="2">
        <v>0</v>
      </c>
      <c r="X1490" s="2">
        <v>814.3</v>
      </c>
    </row>
    <row r="1491" spans="1:24" x14ac:dyDescent="0.25">
      <c r="G1491" s="2" t="s">
        <v>2565</v>
      </c>
    </row>
    <row r="1492" spans="1:24" x14ac:dyDescent="0.25">
      <c r="A1492" s="2">
        <v>743</v>
      </c>
      <c r="B1492" s="2">
        <v>7300</v>
      </c>
      <c r="C1492" s="2" t="s">
        <v>1591</v>
      </c>
      <c r="D1492" s="2" t="s">
        <v>164</v>
      </c>
      <c r="E1492" s="2" t="s">
        <v>204</v>
      </c>
      <c r="F1492" s="2" t="s">
        <v>2566</v>
      </c>
      <c r="G1492" s="2">
        <v>784.3</v>
      </c>
      <c r="H1492" s="2">
        <v>0</v>
      </c>
      <c r="I1492" s="2">
        <v>0</v>
      </c>
      <c r="J1492" s="2">
        <v>0</v>
      </c>
      <c r="K1492" s="2">
        <v>0</v>
      </c>
      <c r="L1492" s="2">
        <v>0</v>
      </c>
      <c r="M1492" s="2">
        <v>30</v>
      </c>
      <c r="N1492" s="2">
        <v>0</v>
      </c>
      <c r="O1492" s="2">
        <v>0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v>0</v>
      </c>
      <c r="W1492" s="2">
        <v>0</v>
      </c>
      <c r="X1492" s="2">
        <v>814.3</v>
      </c>
    </row>
    <row r="1493" spans="1:24" x14ac:dyDescent="0.25">
      <c r="G1493" s="2" t="s">
        <v>545</v>
      </c>
    </row>
    <row r="1494" spans="1:24" x14ac:dyDescent="0.25">
      <c r="A1494" s="2">
        <v>744</v>
      </c>
      <c r="B1494" s="2">
        <v>12952</v>
      </c>
      <c r="C1494" s="2" t="s">
        <v>2567</v>
      </c>
      <c r="D1494" s="2" t="s">
        <v>395</v>
      </c>
      <c r="E1494" s="2" t="s">
        <v>2568</v>
      </c>
      <c r="F1494" s="2" t="s">
        <v>2569</v>
      </c>
      <c r="G1494" s="2">
        <v>814</v>
      </c>
      <c r="H1494" s="2">
        <v>0</v>
      </c>
      <c r="I1494" s="2">
        <v>0</v>
      </c>
      <c r="J1494" s="2">
        <v>0</v>
      </c>
      <c r="K1494" s="2">
        <v>0</v>
      </c>
      <c r="L1494" s="2">
        <v>0</v>
      </c>
      <c r="M1494" s="2">
        <v>0</v>
      </c>
      <c r="N1494" s="2">
        <v>0</v>
      </c>
      <c r="O1494" s="2">
        <v>0</v>
      </c>
      <c r="P1494" s="2">
        <v>0</v>
      </c>
      <c r="Q1494" s="2">
        <v>0</v>
      </c>
      <c r="R1494" s="2">
        <v>0</v>
      </c>
      <c r="S1494" s="2">
        <v>0</v>
      </c>
      <c r="T1494" s="2">
        <v>0</v>
      </c>
      <c r="U1494" s="2">
        <v>0</v>
      </c>
      <c r="W1494" s="2">
        <v>0</v>
      </c>
      <c r="X1494" s="2">
        <v>814</v>
      </c>
    </row>
    <row r="1495" spans="1:24" x14ac:dyDescent="0.25">
      <c r="G1495" s="2" t="s">
        <v>2570</v>
      </c>
    </row>
    <row r="1496" spans="1:24" x14ac:dyDescent="0.25">
      <c r="A1496" s="2">
        <v>745</v>
      </c>
      <c r="B1496" s="2">
        <v>201</v>
      </c>
      <c r="C1496" s="2" t="s">
        <v>2571</v>
      </c>
      <c r="D1496" s="2" t="s">
        <v>73</v>
      </c>
      <c r="E1496" s="2" t="s">
        <v>144</v>
      </c>
      <c r="F1496" s="2" t="s">
        <v>2572</v>
      </c>
      <c r="G1496" s="2">
        <v>814</v>
      </c>
      <c r="H1496" s="2">
        <v>0</v>
      </c>
      <c r="I1496" s="2">
        <v>0</v>
      </c>
      <c r="J1496" s="2">
        <v>0</v>
      </c>
      <c r="K1496" s="2">
        <v>0</v>
      </c>
      <c r="L1496" s="2">
        <v>0</v>
      </c>
      <c r="M1496" s="2">
        <v>0</v>
      </c>
      <c r="N1496" s="2">
        <v>0</v>
      </c>
      <c r="O1496" s="2">
        <v>0</v>
      </c>
      <c r="P1496" s="2">
        <v>0</v>
      </c>
      <c r="Q1496" s="2">
        <v>0</v>
      </c>
      <c r="R1496" s="2">
        <v>0</v>
      </c>
      <c r="S1496" s="2">
        <v>0</v>
      </c>
      <c r="T1496" s="2">
        <v>0</v>
      </c>
      <c r="U1496" s="2">
        <v>0</v>
      </c>
      <c r="W1496" s="2">
        <v>0</v>
      </c>
      <c r="X1496" s="2">
        <v>814</v>
      </c>
    </row>
    <row r="1497" spans="1:24" x14ac:dyDescent="0.25">
      <c r="G1497" s="2" t="s">
        <v>2573</v>
      </c>
    </row>
    <row r="1498" spans="1:24" x14ac:dyDescent="0.25">
      <c r="A1498" s="2">
        <v>746</v>
      </c>
      <c r="B1498" s="2">
        <v>12949</v>
      </c>
      <c r="C1498" s="2" t="s">
        <v>2342</v>
      </c>
      <c r="D1498" s="2" t="s">
        <v>2574</v>
      </c>
      <c r="E1498" s="2" t="s">
        <v>127</v>
      </c>
      <c r="F1498" s="2" t="s">
        <v>2575</v>
      </c>
      <c r="G1498" s="2">
        <v>814</v>
      </c>
      <c r="H1498" s="2">
        <v>0</v>
      </c>
      <c r="I1498" s="2">
        <v>0</v>
      </c>
      <c r="J1498" s="2">
        <v>0</v>
      </c>
      <c r="K1498" s="2">
        <v>0</v>
      </c>
      <c r="L1498" s="2">
        <v>0</v>
      </c>
      <c r="M1498" s="2">
        <v>0</v>
      </c>
      <c r="N1498" s="2">
        <v>0</v>
      </c>
      <c r="O1498" s="2">
        <v>0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v>0</v>
      </c>
      <c r="W1498" s="2">
        <v>1</v>
      </c>
      <c r="X1498" s="2">
        <v>814</v>
      </c>
    </row>
    <row r="1499" spans="1:24" x14ac:dyDescent="0.25">
      <c r="G1499" s="2" t="s">
        <v>2576</v>
      </c>
    </row>
    <row r="1500" spans="1:24" x14ac:dyDescent="0.25">
      <c r="A1500" s="2">
        <v>747</v>
      </c>
      <c r="B1500" s="2">
        <v>11820</v>
      </c>
      <c r="C1500" s="2" t="s">
        <v>2577</v>
      </c>
      <c r="D1500" s="2" t="s">
        <v>1851</v>
      </c>
      <c r="E1500" s="2" t="s">
        <v>204</v>
      </c>
      <c r="F1500" s="2" t="s">
        <v>2578</v>
      </c>
      <c r="G1500" s="2">
        <v>814</v>
      </c>
      <c r="H1500" s="2">
        <v>0</v>
      </c>
      <c r="I1500" s="2">
        <v>0</v>
      </c>
      <c r="J1500" s="2">
        <v>0</v>
      </c>
      <c r="K1500" s="2">
        <v>0</v>
      </c>
      <c r="L1500" s="2">
        <v>0</v>
      </c>
      <c r="M1500" s="2">
        <v>0</v>
      </c>
      <c r="N1500" s="2">
        <v>0</v>
      </c>
      <c r="O1500" s="2">
        <v>0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v>0</v>
      </c>
      <c r="W1500" s="2">
        <v>0</v>
      </c>
      <c r="X1500" s="2">
        <v>814</v>
      </c>
    </row>
    <row r="1501" spans="1:24" x14ac:dyDescent="0.25">
      <c r="G1501" s="2" t="s">
        <v>2579</v>
      </c>
    </row>
    <row r="1502" spans="1:24" x14ac:dyDescent="0.25">
      <c r="A1502" s="2">
        <v>748</v>
      </c>
      <c r="B1502" s="2">
        <v>197</v>
      </c>
      <c r="C1502" s="2" t="s">
        <v>2580</v>
      </c>
      <c r="D1502" s="2" t="s">
        <v>67</v>
      </c>
      <c r="E1502" s="2" t="s">
        <v>73</v>
      </c>
      <c r="F1502" s="2" t="s">
        <v>2581</v>
      </c>
      <c r="G1502" s="2">
        <v>783.2</v>
      </c>
      <c r="H1502" s="2">
        <v>0</v>
      </c>
      <c r="I1502" s="2">
        <v>0</v>
      </c>
      <c r="J1502" s="2">
        <v>0</v>
      </c>
      <c r="K1502" s="2">
        <v>0</v>
      </c>
      <c r="L1502" s="2">
        <v>0</v>
      </c>
      <c r="M1502" s="2">
        <v>30</v>
      </c>
      <c r="N1502" s="2">
        <v>0</v>
      </c>
      <c r="O1502" s="2">
        <v>0</v>
      </c>
      <c r="P1502" s="2">
        <v>0</v>
      </c>
      <c r="Q1502" s="2">
        <v>0</v>
      </c>
      <c r="R1502" s="2">
        <v>0</v>
      </c>
      <c r="S1502" s="2">
        <v>0</v>
      </c>
      <c r="T1502" s="2">
        <v>0</v>
      </c>
      <c r="U1502" s="2">
        <v>0</v>
      </c>
      <c r="W1502" s="2">
        <v>0</v>
      </c>
      <c r="X1502" s="2">
        <v>813.2</v>
      </c>
    </row>
    <row r="1503" spans="1:24" x14ac:dyDescent="0.25">
      <c r="G1503" s="2" t="s">
        <v>2582</v>
      </c>
    </row>
    <row r="1504" spans="1:24" x14ac:dyDescent="0.25">
      <c r="A1504" s="2">
        <v>749</v>
      </c>
      <c r="B1504" s="2">
        <v>10999</v>
      </c>
      <c r="C1504" s="2" t="s">
        <v>2583</v>
      </c>
      <c r="D1504" s="2" t="s">
        <v>2584</v>
      </c>
      <c r="E1504" s="2" t="s">
        <v>194</v>
      </c>
      <c r="F1504" s="2" t="s">
        <v>2585</v>
      </c>
      <c r="G1504" s="2">
        <v>783.2</v>
      </c>
      <c r="H1504" s="2">
        <v>0</v>
      </c>
      <c r="I1504" s="2">
        <v>0</v>
      </c>
      <c r="J1504" s="2">
        <v>0</v>
      </c>
      <c r="K1504" s="2">
        <v>0</v>
      </c>
      <c r="L1504" s="2">
        <v>0</v>
      </c>
      <c r="M1504" s="2">
        <v>30</v>
      </c>
      <c r="N1504" s="2">
        <v>0</v>
      </c>
      <c r="O1504" s="2">
        <v>0</v>
      </c>
      <c r="P1504" s="2">
        <v>0</v>
      </c>
      <c r="Q1504" s="2">
        <v>0</v>
      </c>
      <c r="R1504" s="2">
        <v>0</v>
      </c>
      <c r="S1504" s="2">
        <v>0</v>
      </c>
      <c r="T1504" s="2">
        <v>0</v>
      </c>
      <c r="U1504" s="2">
        <v>0</v>
      </c>
      <c r="W1504" s="2">
        <v>0</v>
      </c>
      <c r="X1504" s="2">
        <v>813.2</v>
      </c>
    </row>
    <row r="1505" spans="1:24" x14ac:dyDescent="0.25">
      <c r="G1505" s="2" t="s">
        <v>2586</v>
      </c>
    </row>
    <row r="1506" spans="1:24" x14ac:dyDescent="0.25">
      <c r="A1506" s="2">
        <v>750</v>
      </c>
      <c r="B1506" s="2">
        <v>16452</v>
      </c>
      <c r="C1506" s="2" t="s">
        <v>2587</v>
      </c>
      <c r="D1506" s="2" t="s">
        <v>178</v>
      </c>
      <c r="E1506" s="2" t="s">
        <v>73</v>
      </c>
      <c r="F1506" s="2" t="s">
        <v>2588</v>
      </c>
      <c r="G1506" s="2">
        <v>782.1</v>
      </c>
      <c r="H1506" s="2">
        <v>0</v>
      </c>
      <c r="I1506" s="2">
        <v>0</v>
      </c>
      <c r="J1506" s="2">
        <v>0</v>
      </c>
      <c r="K1506" s="2">
        <v>0</v>
      </c>
      <c r="L1506" s="2">
        <v>0</v>
      </c>
      <c r="M1506" s="2">
        <v>30</v>
      </c>
      <c r="N1506" s="2">
        <v>0</v>
      </c>
      <c r="O1506" s="2">
        <v>0</v>
      </c>
      <c r="P1506" s="2">
        <v>0</v>
      </c>
      <c r="Q1506" s="2">
        <v>0</v>
      </c>
      <c r="R1506" s="2">
        <v>0</v>
      </c>
      <c r="S1506" s="2">
        <v>0</v>
      </c>
      <c r="T1506" s="2">
        <v>0</v>
      </c>
      <c r="U1506" s="2">
        <v>0</v>
      </c>
      <c r="W1506" s="2">
        <v>1</v>
      </c>
      <c r="X1506" s="2">
        <v>812.1</v>
      </c>
    </row>
    <row r="1507" spans="1:24" x14ac:dyDescent="0.25">
      <c r="G1507" s="2" t="s">
        <v>2589</v>
      </c>
    </row>
    <row r="1508" spans="1:24" x14ac:dyDescent="0.25">
      <c r="A1508" s="2">
        <v>751</v>
      </c>
      <c r="B1508" s="2">
        <v>13116</v>
      </c>
      <c r="C1508" s="2" t="s">
        <v>2590</v>
      </c>
      <c r="D1508" s="2" t="s">
        <v>395</v>
      </c>
      <c r="E1508" s="2" t="s">
        <v>298</v>
      </c>
      <c r="F1508" s="2" t="s">
        <v>2591</v>
      </c>
      <c r="G1508" s="2">
        <v>782.1</v>
      </c>
      <c r="H1508" s="2">
        <v>0</v>
      </c>
      <c r="I1508" s="2">
        <v>0</v>
      </c>
      <c r="J1508" s="2">
        <v>0</v>
      </c>
      <c r="K1508" s="2">
        <v>0</v>
      </c>
      <c r="L1508" s="2">
        <v>0</v>
      </c>
      <c r="M1508" s="2">
        <v>30</v>
      </c>
      <c r="N1508" s="2">
        <v>0</v>
      </c>
      <c r="O1508" s="2">
        <v>0</v>
      </c>
      <c r="P1508" s="2">
        <v>0</v>
      </c>
      <c r="Q1508" s="2">
        <v>0</v>
      </c>
      <c r="R1508" s="2">
        <v>0</v>
      </c>
      <c r="S1508" s="2">
        <v>0</v>
      </c>
      <c r="T1508" s="2">
        <v>0</v>
      </c>
      <c r="U1508" s="2">
        <v>0</v>
      </c>
      <c r="W1508" s="2">
        <v>0</v>
      </c>
      <c r="X1508" s="2">
        <v>812.1</v>
      </c>
    </row>
    <row r="1509" spans="1:24" x14ac:dyDescent="0.25">
      <c r="G1509" s="2" t="s">
        <v>2592</v>
      </c>
    </row>
    <row r="1510" spans="1:24" x14ac:dyDescent="0.25">
      <c r="A1510" s="2">
        <v>752</v>
      </c>
      <c r="B1510" s="2">
        <v>5741</v>
      </c>
      <c r="C1510" s="2" t="s">
        <v>2594</v>
      </c>
      <c r="D1510" s="2" t="s">
        <v>112</v>
      </c>
      <c r="E1510" s="2" t="s">
        <v>39</v>
      </c>
      <c r="F1510" s="2" t="s">
        <v>2595</v>
      </c>
      <c r="G1510" s="2">
        <v>811.8</v>
      </c>
      <c r="H1510" s="2">
        <v>0</v>
      </c>
      <c r="I1510" s="2">
        <v>0</v>
      </c>
      <c r="J1510" s="2">
        <v>0</v>
      </c>
      <c r="K1510" s="2">
        <v>0</v>
      </c>
      <c r="L1510" s="2">
        <v>0</v>
      </c>
      <c r="M1510" s="2">
        <v>0</v>
      </c>
      <c r="N1510" s="2">
        <v>0</v>
      </c>
      <c r="O1510" s="2">
        <v>0</v>
      </c>
      <c r="P1510" s="2">
        <v>0</v>
      </c>
      <c r="Q1510" s="2">
        <v>0</v>
      </c>
      <c r="R1510" s="2">
        <v>0</v>
      </c>
      <c r="S1510" s="2">
        <v>0</v>
      </c>
      <c r="T1510" s="2">
        <v>0</v>
      </c>
      <c r="U1510" s="2">
        <v>0</v>
      </c>
      <c r="W1510" s="2">
        <v>2</v>
      </c>
      <c r="X1510" s="2">
        <v>811.8</v>
      </c>
    </row>
    <row r="1511" spans="1:24" x14ac:dyDescent="0.25">
      <c r="G1511" s="2" t="s">
        <v>2596</v>
      </c>
    </row>
    <row r="1512" spans="1:24" x14ac:dyDescent="0.25">
      <c r="A1512" s="2">
        <v>753</v>
      </c>
      <c r="B1512" s="2">
        <v>11023</v>
      </c>
      <c r="C1512" s="2" t="s">
        <v>2597</v>
      </c>
      <c r="D1512" s="2" t="s">
        <v>634</v>
      </c>
      <c r="E1512" s="2" t="s">
        <v>90</v>
      </c>
      <c r="F1512" s="2" t="s">
        <v>2598</v>
      </c>
      <c r="G1512" s="2">
        <v>811.8</v>
      </c>
      <c r="H1512" s="2">
        <v>0</v>
      </c>
      <c r="I1512" s="2">
        <v>0</v>
      </c>
      <c r="J1512" s="2">
        <v>0</v>
      </c>
      <c r="K1512" s="2">
        <v>0</v>
      </c>
      <c r="L1512" s="2">
        <v>0</v>
      </c>
      <c r="M1512" s="2">
        <v>0</v>
      </c>
      <c r="N1512" s="2">
        <v>0</v>
      </c>
      <c r="O1512" s="2">
        <v>0</v>
      </c>
      <c r="P1512" s="2">
        <v>0</v>
      </c>
      <c r="Q1512" s="2">
        <v>0</v>
      </c>
      <c r="R1512" s="2">
        <v>0</v>
      </c>
      <c r="S1512" s="2">
        <v>0</v>
      </c>
      <c r="T1512" s="2">
        <v>0</v>
      </c>
      <c r="U1512" s="2">
        <v>0</v>
      </c>
      <c r="W1512" s="2">
        <v>0</v>
      </c>
      <c r="X1512" s="2">
        <v>811.8</v>
      </c>
    </row>
    <row r="1513" spans="1:24" x14ac:dyDescent="0.25">
      <c r="G1513" s="2" t="s">
        <v>2599</v>
      </c>
    </row>
    <row r="1514" spans="1:24" x14ac:dyDescent="0.25">
      <c r="A1514" s="2">
        <v>754</v>
      </c>
      <c r="B1514" s="2">
        <v>11716</v>
      </c>
      <c r="C1514" s="2" t="s">
        <v>2600</v>
      </c>
      <c r="D1514" s="2" t="s">
        <v>2601</v>
      </c>
      <c r="E1514" s="2" t="s">
        <v>73</v>
      </c>
      <c r="F1514" s="2" t="s">
        <v>2602</v>
      </c>
      <c r="G1514" s="2">
        <v>741.4</v>
      </c>
      <c r="H1514" s="2">
        <v>0</v>
      </c>
      <c r="I1514" s="2">
        <v>0</v>
      </c>
      <c r="J1514" s="2">
        <v>0</v>
      </c>
      <c r="K1514" s="2">
        <v>0</v>
      </c>
      <c r="L1514" s="2">
        <v>0</v>
      </c>
      <c r="M1514" s="2">
        <v>70</v>
      </c>
      <c r="N1514" s="2">
        <v>0</v>
      </c>
      <c r="O1514" s="2">
        <v>0</v>
      </c>
      <c r="P1514" s="2">
        <v>0</v>
      </c>
      <c r="Q1514" s="2">
        <v>0</v>
      </c>
      <c r="R1514" s="2">
        <v>0</v>
      </c>
      <c r="S1514" s="2">
        <v>0</v>
      </c>
      <c r="T1514" s="2">
        <v>0</v>
      </c>
      <c r="U1514" s="2">
        <v>0</v>
      </c>
      <c r="W1514" s="2">
        <v>0</v>
      </c>
      <c r="X1514" s="2">
        <v>811.4</v>
      </c>
    </row>
    <row r="1515" spans="1:24" x14ac:dyDescent="0.25">
      <c r="G1515" s="2" t="s">
        <v>2603</v>
      </c>
    </row>
    <row r="1516" spans="1:24" x14ac:dyDescent="0.25">
      <c r="A1516" s="2">
        <v>755</v>
      </c>
      <c r="B1516" s="2">
        <v>3839</v>
      </c>
      <c r="C1516" s="2" t="s">
        <v>2604</v>
      </c>
      <c r="D1516" s="2" t="s">
        <v>2605</v>
      </c>
      <c r="E1516" s="2" t="s">
        <v>133</v>
      </c>
      <c r="F1516" s="2" t="s">
        <v>2606</v>
      </c>
      <c r="G1516" s="2">
        <v>781</v>
      </c>
      <c r="H1516" s="2">
        <v>0</v>
      </c>
      <c r="I1516" s="2">
        <v>0</v>
      </c>
      <c r="J1516" s="2">
        <v>0</v>
      </c>
      <c r="K1516" s="2">
        <v>0</v>
      </c>
      <c r="L1516" s="2">
        <v>0</v>
      </c>
      <c r="M1516" s="2">
        <v>30</v>
      </c>
      <c r="N1516" s="2">
        <v>0</v>
      </c>
      <c r="O1516" s="2">
        <v>0</v>
      </c>
      <c r="P1516" s="2">
        <v>0</v>
      </c>
      <c r="Q1516" s="2">
        <v>0</v>
      </c>
      <c r="R1516" s="2">
        <v>0</v>
      </c>
      <c r="S1516" s="2">
        <v>0</v>
      </c>
      <c r="T1516" s="2">
        <v>0</v>
      </c>
      <c r="U1516" s="2">
        <v>0</v>
      </c>
      <c r="W1516" s="2">
        <v>0</v>
      </c>
      <c r="X1516" s="2">
        <v>811</v>
      </c>
    </row>
    <row r="1517" spans="1:24" x14ac:dyDescent="0.25">
      <c r="G1517" s="2" t="s">
        <v>2607</v>
      </c>
    </row>
    <row r="1518" spans="1:24" x14ac:dyDescent="0.25">
      <c r="A1518" s="2">
        <v>756</v>
      </c>
      <c r="B1518" s="2">
        <v>10474</v>
      </c>
      <c r="C1518" s="2" t="s">
        <v>2608</v>
      </c>
      <c r="D1518" s="2" t="s">
        <v>298</v>
      </c>
      <c r="E1518" s="2" t="s">
        <v>1677</v>
      </c>
      <c r="F1518" s="2" t="s">
        <v>2609</v>
      </c>
      <c r="G1518" s="2">
        <v>781</v>
      </c>
      <c r="H1518" s="2">
        <v>0</v>
      </c>
      <c r="I1518" s="2">
        <v>0</v>
      </c>
      <c r="J1518" s="2">
        <v>0</v>
      </c>
      <c r="K1518" s="2">
        <v>0</v>
      </c>
      <c r="L1518" s="2">
        <v>0</v>
      </c>
      <c r="M1518" s="2">
        <v>30</v>
      </c>
      <c r="N1518" s="2">
        <v>0</v>
      </c>
      <c r="O1518" s="2">
        <v>0</v>
      </c>
      <c r="P1518" s="2">
        <v>0</v>
      </c>
      <c r="Q1518" s="2">
        <v>0</v>
      </c>
      <c r="R1518" s="2">
        <v>0</v>
      </c>
      <c r="S1518" s="2">
        <v>0</v>
      </c>
      <c r="T1518" s="2">
        <v>0</v>
      </c>
      <c r="U1518" s="2">
        <v>0</v>
      </c>
      <c r="W1518" s="2">
        <v>0</v>
      </c>
      <c r="X1518" s="2">
        <v>811</v>
      </c>
    </row>
    <row r="1519" spans="1:24" x14ac:dyDescent="0.25">
      <c r="G1519" s="2" t="s">
        <v>176</v>
      </c>
    </row>
    <row r="1520" spans="1:24" x14ac:dyDescent="0.25">
      <c r="A1520" s="2">
        <v>757</v>
      </c>
      <c r="B1520" s="2">
        <v>12362</v>
      </c>
      <c r="C1520" s="2" t="s">
        <v>2610</v>
      </c>
      <c r="D1520" s="2" t="s">
        <v>1132</v>
      </c>
      <c r="E1520" s="2" t="s">
        <v>78</v>
      </c>
      <c r="F1520" s="2" t="s">
        <v>2611</v>
      </c>
      <c r="G1520" s="2">
        <v>781</v>
      </c>
      <c r="H1520" s="2">
        <v>0</v>
      </c>
      <c r="I1520" s="2">
        <v>0</v>
      </c>
      <c r="J1520" s="2">
        <v>0</v>
      </c>
      <c r="K1520" s="2">
        <v>0</v>
      </c>
      <c r="L1520" s="2">
        <v>0</v>
      </c>
      <c r="M1520" s="2">
        <v>30</v>
      </c>
      <c r="N1520" s="2">
        <v>0</v>
      </c>
      <c r="O1520" s="2">
        <v>0</v>
      </c>
      <c r="P1520" s="2">
        <v>0</v>
      </c>
      <c r="Q1520" s="2">
        <v>0</v>
      </c>
      <c r="R1520" s="2">
        <v>0</v>
      </c>
      <c r="S1520" s="2">
        <v>0</v>
      </c>
      <c r="T1520" s="2">
        <v>0</v>
      </c>
      <c r="U1520" s="2">
        <v>0</v>
      </c>
      <c r="W1520" s="2">
        <v>0</v>
      </c>
      <c r="X1520" s="2">
        <v>811</v>
      </c>
    </row>
    <row r="1521" spans="1:24" x14ac:dyDescent="0.25">
      <c r="G1521" s="2" t="s">
        <v>2612</v>
      </c>
    </row>
    <row r="1522" spans="1:24" x14ac:dyDescent="0.25">
      <c r="A1522" s="2">
        <v>758</v>
      </c>
      <c r="B1522" s="2">
        <v>13916</v>
      </c>
      <c r="C1522" s="2" t="s">
        <v>2613</v>
      </c>
      <c r="D1522" s="2" t="s">
        <v>2614</v>
      </c>
      <c r="E1522" s="2" t="s">
        <v>127</v>
      </c>
      <c r="F1522" s="2" t="s">
        <v>2615</v>
      </c>
      <c r="G1522" s="2">
        <v>781</v>
      </c>
      <c r="H1522" s="2">
        <v>0</v>
      </c>
      <c r="I1522" s="2">
        <v>0</v>
      </c>
      <c r="J1522" s="2">
        <v>0</v>
      </c>
      <c r="K1522" s="2">
        <v>0</v>
      </c>
      <c r="L1522" s="2">
        <v>0</v>
      </c>
      <c r="M1522" s="2">
        <v>30</v>
      </c>
      <c r="N1522" s="2">
        <v>0</v>
      </c>
      <c r="O1522" s="2">
        <v>0</v>
      </c>
      <c r="P1522" s="2">
        <v>0</v>
      </c>
      <c r="Q1522" s="2">
        <v>0</v>
      </c>
      <c r="R1522" s="2">
        <v>0</v>
      </c>
      <c r="S1522" s="2">
        <v>0</v>
      </c>
      <c r="T1522" s="2">
        <v>0</v>
      </c>
      <c r="U1522" s="2">
        <v>0</v>
      </c>
      <c r="W1522" s="2">
        <v>0</v>
      </c>
      <c r="X1522" s="2">
        <v>811</v>
      </c>
    </row>
    <row r="1523" spans="1:24" x14ac:dyDescent="0.25">
      <c r="G1523" s="2" t="s">
        <v>2616</v>
      </c>
    </row>
    <row r="1524" spans="1:24" x14ac:dyDescent="0.25">
      <c r="A1524" s="2">
        <v>759</v>
      </c>
      <c r="B1524" s="2">
        <v>5308</v>
      </c>
      <c r="C1524" s="2" t="s">
        <v>2617</v>
      </c>
      <c r="D1524" s="2" t="s">
        <v>164</v>
      </c>
      <c r="E1524" s="2" t="s">
        <v>965</v>
      </c>
      <c r="F1524" s="2" t="s">
        <v>2618</v>
      </c>
      <c r="G1524" s="2">
        <v>781</v>
      </c>
      <c r="H1524" s="2">
        <v>0</v>
      </c>
      <c r="I1524" s="2">
        <v>0</v>
      </c>
      <c r="J1524" s="2">
        <v>0</v>
      </c>
      <c r="K1524" s="2">
        <v>0</v>
      </c>
      <c r="L1524" s="2">
        <v>0</v>
      </c>
      <c r="M1524" s="2">
        <v>30</v>
      </c>
      <c r="N1524" s="2">
        <v>0</v>
      </c>
      <c r="O1524" s="2">
        <v>0</v>
      </c>
      <c r="P1524" s="2">
        <v>0</v>
      </c>
      <c r="Q1524" s="2">
        <v>0</v>
      </c>
      <c r="R1524" s="2">
        <v>0</v>
      </c>
      <c r="S1524" s="2">
        <v>0</v>
      </c>
      <c r="T1524" s="2">
        <v>0</v>
      </c>
      <c r="U1524" s="2">
        <v>0</v>
      </c>
      <c r="W1524" s="2">
        <v>0</v>
      </c>
      <c r="X1524" s="2">
        <v>811</v>
      </c>
    </row>
    <row r="1525" spans="1:24" x14ac:dyDescent="0.25">
      <c r="G1525" s="2" t="s">
        <v>2619</v>
      </c>
    </row>
    <row r="1526" spans="1:24" x14ac:dyDescent="0.25">
      <c r="A1526" s="2">
        <v>760</v>
      </c>
      <c r="B1526" s="2">
        <v>997</v>
      </c>
      <c r="C1526" s="2" t="s">
        <v>2620</v>
      </c>
      <c r="D1526" s="2" t="s">
        <v>365</v>
      </c>
      <c r="E1526" s="2" t="s">
        <v>39</v>
      </c>
      <c r="F1526" s="2" t="s">
        <v>2621</v>
      </c>
      <c r="G1526" s="2">
        <v>810.7</v>
      </c>
      <c r="H1526" s="2">
        <v>0</v>
      </c>
      <c r="I1526" s="2">
        <v>0</v>
      </c>
      <c r="J1526" s="2">
        <v>0</v>
      </c>
      <c r="K1526" s="2">
        <v>0</v>
      </c>
      <c r="L1526" s="2">
        <v>0</v>
      </c>
      <c r="M1526" s="2">
        <v>0</v>
      </c>
      <c r="N1526" s="2">
        <v>0</v>
      </c>
      <c r="O1526" s="2">
        <v>0</v>
      </c>
      <c r="P1526" s="2">
        <v>0</v>
      </c>
      <c r="Q1526" s="2">
        <v>0</v>
      </c>
      <c r="R1526" s="2">
        <v>0</v>
      </c>
      <c r="S1526" s="2">
        <v>0</v>
      </c>
      <c r="T1526" s="2">
        <v>0</v>
      </c>
      <c r="U1526" s="2">
        <v>0</v>
      </c>
      <c r="W1526" s="2">
        <v>0</v>
      </c>
      <c r="X1526" s="2">
        <v>810.7</v>
      </c>
    </row>
    <row r="1527" spans="1:24" x14ac:dyDescent="0.25">
      <c r="G1527" s="2" t="s">
        <v>2622</v>
      </c>
    </row>
    <row r="1528" spans="1:24" x14ac:dyDescent="0.25">
      <c r="A1528" s="2">
        <v>761</v>
      </c>
      <c r="B1528" s="2">
        <v>14768</v>
      </c>
      <c r="C1528" s="2" t="s">
        <v>2623</v>
      </c>
      <c r="D1528" s="2" t="s">
        <v>73</v>
      </c>
      <c r="E1528" s="2" t="s">
        <v>16</v>
      </c>
      <c r="F1528" s="2" t="s">
        <v>2624</v>
      </c>
      <c r="G1528" s="2">
        <v>810.7</v>
      </c>
      <c r="H1528" s="2">
        <v>0</v>
      </c>
      <c r="I1528" s="2">
        <v>0</v>
      </c>
      <c r="J1528" s="2">
        <v>0</v>
      </c>
      <c r="K1528" s="2">
        <v>0</v>
      </c>
      <c r="L1528" s="2">
        <v>0</v>
      </c>
      <c r="M1528" s="2">
        <v>0</v>
      </c>
      <c r="N1528" s="2">
        <v>0</v>
      </c>
      <c r="O1528" s="2">
        <v>0</v>
      </c>
      <c r="P1528" s="2">
        <v>0</v>
      </c>
      <c r="Q1528" s="2">
        <v>0</v>
      </c>
      <c r="R1528" s="2">
        <v>0</v>
      </c>
      <c r="S1528" s="2">
        <v>0</v>
      </c>
      <c r="T1528" s="2">
        <v>0</v>
      </c>
      <c r="U1528" s="2">
        <v>0</v>
      </c>
      <c r="W1528" s="2">
        <v>0</v>
      </c>
      <c r="X1528" s="2">
        <v>810.7</v>
      </c>
    </row>
    <row r="1529" spans="1:24" x14ac:dyDescent="0.25">
      <c r="G1529" s="2" t="s">
        <v>2625</v>
      </c>
    </row>
    <row r="1530" spans="1:24" x14ac:dyDescent="0.25">
      <c r="A1530" s="2">
        <v>762</v>
      </c>
      <c r="B1530" s="2">
        <v>209</v>
      </c>
      <c r="C1530" s="2" t="s">
        <v>2626</v>
      </c>
      <c r="D1530" s="2" t="s">
        <v>67</v>
      </c>
      <c r="E1530" s="2" t="s">
        <v>204</v>
      </c>
      <c r="F1530" s="2" t="s">
        <v>2627</v>
      </c>
      <c r="G1530" s="2">
        <v>810.7</v>
      </c>
      <c r="H1530" s="2">
        <v>0</v>
      </c>
      <c r="I1530" s="2">
        <v>0</v>
      </c>
      <c r="J1530" s="2">
        <v>0</v>
      </c>
      <c r="K1530" s="2">
        <v>0</v>
      </c>
      <c r="L1530" s="2">
        <v>0</v>
      </c>
      <c r="M1530" s="2">
        <v>0</v>
      </c>
      <c r="N1530" s="2">
        <v>0</v>
      </c>
      <c r="O1530" s="2">
        <v>0</v>
      </c>
      <c r="P1530" s="2">
        <v>0</v>
      </c>
      <c r="Q1530" s="2">
        <v>0</v>
      </c>
      <c r="R1530" s="2">
        <v>0</v>
      </c>
      <c r="S1530" s="2">
        <v>0</v>
      </c>
      <c r="T1530" s="2">
        <v>0</v>
      </c>
      <c r="U1530" s="2">
        <v>0</v>
      </c>
      <c r="W1530" s="2">
        <v>0</v>
      </c>
      <c r="X1530" s="2">
        <v>810.7</v>
      </c>
    </row>
    <row r="1531" spans="1:24" x14ac:dyDescent="0.25">
      <c r="G1531" s="2" t="s">
        <v>2628</v>
      </c>
    </row>
    <row r="1532" spans="1:24" x14ac:dyDescent="0.25">
      <c r="A1532" s="2">
        <v>763</v>
      </c>
      <c r="B1532" s="2">
        <v>7622</v>
      </c>
      <c r="C1532" s="2" t="s">
        <v>2629</v>
      </c>
      <c r="D1532" s="2" t="s">
        <v>965</v>
      </c>
      <c r="E1532" s="2" t="s">
        <v>723</v>
      </c>
      <c r="F1532" s="2" t="s">
        <v>2630</v>
      </c>
      <c r="G1532" s="2">
        <v>810.7</v>
      </c>
      <c r="H1532" s="2">
        <v>0</v>
      </c>
      <c r="I1532" s="2">
        <v>0</v>
      </c>
      <c r="J1532" s="2">
        <v>0</v>
      </c>
      <c r="K1532" s="2">
        <v>0</v>
      </c>
      <c r="L1532" s="2">
        <v>0</v>
      </c>
      <c r="M1532" s="2">
        <v>0</v>
      </c>
      <c r="N1532" s="2">
        <v>0</v>
      </c>
      <c r="O1532" s="2">
        <v>0</v>
      </c>
      <c r="P1532" s="2">
        <v>0</v>
      </c>
      <c r="Q1532" s="2">
        <v>0</v>
      </c>
      <c r="R1532" s="2">
        <v>0</v>
      </c>
      <c r="S1532" s="2">
        <v>0</v>
      </c>
      <c r="T1532" s="2">
        <v>0</v>
      </c>
      <c r="U1532" s="2">
        <v>0</v>
      </c>
      <c r="W1532" s="2">
        <v>1</v>
      </c>
      <c r="X1532" s="2">
        <v>810.7</v>
      </c>
    </row>
    <row r="1533" spans="1:24" x14ac:dyDescent="0.25">
      <c r="G1533" s="2" t="s">
        <v>2631</v>
      </c>
    </row>
    <row r="1534" spans="1:24" x14ac:dyDescent="0.25">
      <c r="A1534" s="2">
        <v>764</v>
      </c>
      <c r="B1534" s="2">
        <v>13463</v>
      </c>
      <c r="C1534" s="2" t="s">
        <v>2632</v>
      </c>
      <c r="D1534" s="2" t="s">
        <v>354</v>
      </c>
      <c r="E1534" s="2" t="s">
        <v>39</v>
      </c>
      <c r="F1534" s="2" t="s">
        <v>2633</v>
      </c>
      <c r="G1534" s="2">
        <v>750.2</v>
      </c>
      <c r="H1534" s="2">
        <v>0</v>
      </c>
      <c r="I1534" s="2">
        <v>0</v>
      </c>
      <c r="J1534" s="2">
        <v>0</v>
      </c>
      <c r="K1534" s="2">
        <v>0</v>
      </c>
      <c r="L1534" s="2">
        <v>0</v>
      </c>
      <c r="M1534" s="2">
        <v>30</v>
      </c>
      <c r="N1534" s="2">
        <v>0</v>
      </c>
      <c r="O1534" s="2">
        <v>30</v>
      </c>
      <c r="P1534" s="2">
        <v>0</v>
      </c>
      <c r="Q1534" s="2">
        <v>0</v>
      </c>
      <c r="R1534" s="2">
        <v>0</v>
      </c>
      <c r="S1534" s="2">
        <v>0</v>
      </c>
      <c r="T1534" s="2">
        <v>0</v>
      </c>
      <c r="U1534" s="2">
        <v>0</v>
      </c>
      <c r="W1534" s="2">
        <v>0</v>
      </c>
      <c r="X1534" s="2">
        <v>810.2</v>
      </c>
    </row>
    <row r="1535" spans="1:24" x14ac:dyDescent="0.25">
      <c r="G1535" s="2" t="s">
        <v>2634</v>
      </c>
    </row>
    <row r="1536" spans="1:24" x14ac:dyDescent="0.25">
      <c r="A1536" s="2">
        <v>765</v>
      </c>
      <c r="B1536" s="2">
        <v>2947</v>
      </c>
      <c r="C1536" s="2" t="s">
        <v>2635</v>
      </c>
      <c r="D1536" s="2" t="s">
        <v>127</v>
      </c>
      <c r="E1536" s="2" t="s">
        <v>590</v>
      </c>
      <c r="F1536" s="2" t="s">
        <v>2636</v>
      </c>
      <c r="G1536" s="2">
        <v>779.9</v>
      </c>
      <c r="H1536" s="2">
        <v>0</v>
      </c>
      <c r="I1536" s="2">
        <v>0</v>
      </c>
      <c r="J1536" s="2">
        <v>0</v>
      </c>
      <c r="K1536" s="2">
        <v>0</v>
      </c>
      <c r="L1536" s="2">
        <v>0</v>
      </c>
      <c r="M1536" s="2">
        <v>30</v>
      </c>
      <c r="N1536" s="2">
        <v>0</v>
      </c>
      <c r="O1536" s="2">
        <v>0</v>
      </c>
      <c r="P1536" s="2">
        <v>0</v>
      </c>
      <c r="Q1536" s="2">
        <v>0</v>
      </c>
      <c r="R1536" s="2">
        <v>0</v>
      </c>
      <c r="S1536" s="2">
        <v>0</v>
      </c>
      <c r="T1536" s="2">
        <v>0</v>
      </c>
      <c r="U1536" s="2">
        <v>0</v>
      </c>
      <c r="W1536" s="2">
        <v>0</v>
      </c>
      <c r="X1536" s="2">
        <v>809.9</v>
      </c>
    </row>
    <row r="1537" spans="1:24" x14ac:dyDescent="0.25">
      <c r="G1537" s="2" t="s">
        <v>2637</v>
      </c>
    </row>
    <row r="1538" spans="1:24" x14ac:dyDescent="0.25">
      <c r="A1538" s="2">
        <v>766</v>
      </c>
      <c r="B1538" s="2">
        <v>9373</v>
      </c>
      <c r="C1538" s="2" t="s">
        <v>2638</v>
      </c>
      <c r="D1538" s="2" t="s">
        <v>67</v>
      </c>
      <c r="E1538" s="2" t="s">
        <v>16</v>
      </c>
      <c r="F1538" s="2" t="s">
        <v>2639</v>
      </c>
      <c r="G1538" s="2">
        <v>779.9</v>
      </c>
      <c r="H1538" s="2">
        <v>0</v>
      </c>
      <c r="I1538" s="2">
        <v>0</v>
      </c>
      <c r="J1538" s="2">
        <v>0</v>
      </c>
      <c r="K1538" s="2">
        <v>0</v>
      </c>
      <c r="L1538" s="2">
        <v>0</v>
      </c>
      <c r="M1538" s="2">
        <v>30</v>
      </c>
      <c r="N1538" s="2">
        <v>0</v>
      </c>
      <c r="O1538" s="2">
        <v>0</v>
      </c>
      <c r="P1538" s="2">
        <v>0</v>
      </c>
      <c r="Q1538" s="2">
        <v>0</v>
      </c>
      <c r="R1538" s="2">
        <v>0</v>
      </c>
      <c r="S1538" s="2">
        <v>0</v>
      </c>
      <c r="T1538" s="2">
        <v>0</v>
      </c>
      <c r="U1538" s="2">
        <v>0</v>
      </c>
      <c r="W1538" s="2">
        <v>0</v>
      </c>
      <c r="X1538" s="2">
        <v>809.9</v>
      </c>
    </row>
    <row r="1539" spans="1:24" x14ac:dyDescent="0.25">
      <c r="G1539" s="2" t="s">
        <v>2640</v>
      </c>
    </row>
    <row r="1540" spans="1:24" x14ac:dyDescent="0.25">
      <c r="A1540" s="2">
        <v>767</v>
      </c>
      <c r="B1540" s="2">
        <v>12370</v>
      </c>
      <c r="C1540" s="2" t="s">
        <v>2641</v>
      </c>
      <c r="D1540" s="2" t="s">
        <v>2310</v>
      </c>
      <c r="E1540" s="2" t="s">
        <v>1040</v>
      </c>
      <c r="F1540" s="2" t="s">
        <v>2642</v>
      </c>
      <c r="G1540" s="2">
        <v>779.9</v>
      </c>
      <c r="H1540" s="2">
        <v>0</v>
      </c>
      <c r="I1540" s="2">
        <v>0</v>
      </c>
      <c r="J1540" s="2">
        <v>0</v>
      </c>
      <c r="K1540" s="2">
        <v>0</v>
      </c>
      <c r="L1540" s="2">
        <v>0</v>
      </c>
      <c r="M1540" s="2">
        <v>30</v>
      </c>
      <c r="N1540" s="2">
        <v>0</v>
      </c>
      <c r="O1540" s="2">
        <v>0</v>
      </c>
      <c r="P1540" s="2">
        <v>0</v>
      </c>
      <c r="Q1540" s="2">
        <v>0</v>
      </c>
      <c r="R1540" s="2">
        <v>0</v>
      </c>
      <c r="S1540" s="2">
        <v>0</v>
      </c>
      <c r="T1540" s="2">
        <v>0</v>
      </c>
      <c r="U1540" s="2">
        <v>0</v>
      </c>
      <c r="W1540" s="2">
        <v>0</v>
      </c>
      <c r="X1540" s="2">
        <v>809.9</v>
      </c>
    </row>
    <row r="1541" spans="1:24" x14ac:dyDescent="0.25">
      <c r="G1541" s="2" t="s">
        <v>2643</v>
      </c>
    </row>
    <row r="1542" spans="1:24" x14ac:dyDescent="0.25">
      <c r="A1542" s="2">
        <v>768</v>
      </c>
      <c r="B1542" s="2">
        <v>14745</v>
      </c>
      <c r="C1542" s="2" t="s">
        <v>2644</v>
      </c>
      <c r="D1542" s="2" t="s">
        <v>2645</v>
      </c>
      <c r="E1542" s="2" t="s">
        <v>39</v>
      </c>
      <c r="F1542" s="2" t="s">
        <v>2646</v>
      </c>
      <c r="G1542" s="2">
        <v>759</v>
      </c>
      <c r="H1542" s="2">
        <v>0</v>
      </c>
      <c r="I1542" s="2">
        <v>0</v>
      </c>
      <c r="J1542" s="2">
        <v>0</v>
      </c>
      <c r="K1542" s="2">
        <v>0</v>
      </c>
      <c r="L1542" s="2">
        <v>0</v>
      </c>
      <c r="M1542" s="2">
        <v>50</v>
      </c>
      <c r="N1542" s="2">
        <v>0</v>
      </c>
      <c r="O1542" s="2">
        <v>0</v>
      </c>
      <c r="P1542" s="2">
        <v>0</v>
      </c>
      <c r="Q1542" s="2">
        <v>0</v>
      </c>
      <c r="R1542" s="2">
        <v>0</v>
      </c>
      <c r="S1542" s="2">
        <v>0</v>
      </c>
      <c r="T1542" s="2">
        <v>0</v>
      </c>
      <c r="U1542" s="2">
        <v>0</v>
      </c>
      <c r="W1542" s="2">
        <v>0</v>
      </c>
      <c r="X1542" s="2">
        <v>809</v>
      </c>
    </row>
    <row r="1543" spans="1:24" x14ac:dyDescent="0.25">
      <c r="G1543" s="2" t="s">
        <v>2647</v>
      </c>
    </row>
    <row r="1544" spans="1:24" x14ac:dyDescent="0.25">
      <c r="A1544" s="2">
        <v>769</v>
      </c>
      <c r="B1544" s="2">
        <v>1118</v>
      </c>
      <c r="C1544" s="2" t="s">
        <v>2648</v>
      </c>
      <c r="D1544" s="2" t="s">
        <v>2649</v>
      </c>
      <c r="E1544" s="2" t="s">
        <v>73</v>
      </c>
      <c r="F1544" s="2" t="s">
        <v>2650</v>
      </c>
      <c r="G1544" s="2">
        <v>759</v>
      </c>
      <c r="H1544" s="2">
        <v>0</v>
      </c>
      <c r="I1544" s="2">
        <v>0</v>
      </c>
      <c r="J1544" s="2">
        <v>0</v>
      </c>
      <c r="K1544" s="2">
        <v>0</v>
      </c>
      <c r="L1544" s="2">
        <v>0</v>
      </c>
      <c r="M1544" s="2">
        <v>50</v>
      </c>
      <c r="N1544" s="2">
        <v>0</v>
      </c>
      <c r="O1544" s="2">
        <v>0</v>
      </c>
      <c r="P1544" s="2">
        <v>0</v>
      </c>
      <c r="Q1544" s="2">
        <v>0</v>
      </c>
      <c r="R1544" s="2">
        <v>0</v>
      </c>
      <c r="S1544" s="2">
        <v>0</v>
      </c>
      <c r="T1544" s="2">
        <v>0</v>
      </c>
      <c r="U1544" s="2">
        <v>0</v>
      </c>
      <c r="W1544" s="2">
        <v>0</v>
      </c>
      <c r="X1544" s="2">
        <v>809</v>
      </c>
    </row>
    <row r="1545" spans="1:24" x14ac:dyDescent="0.25">
      <c r="G1545" s="2" t="s">
        <v>2651</v>
      </c>
    </row>
    <row r="1546" spans="1:24" x14ac:dyDescent="0.25">
      <c r="A1546" s="2">
        <v>770</v>
      </c>
      <c r="B1546" s="2">
        <v>13767</v>
      </c>
      <c r="C1546" s="2" t="s">
        <v>2652</v>
      </c>
      <c r="D1546" s="2" t="s">
        <v>50</v>
      </c>
      <c r="E1546" s="2" t="s">
        <v>302</v>
      </c>
      <c r="F1546" s="2" t="s">
        <v>2653</v>
      </c>
      <c r="G1546" s="2">
        <v>778.8</v>
      </c>
      <c r="H1546" s="2">
        <v>0</v>
      </c>
      <c r="I1546" s="2">
        <v>0</v>
      </c>
      <c r="J1546" s="2">
        <v>0</v>
      </c>
      <c r="K1546" s="2">
        <v>0</v>
      </c>
      <c r="L1546" s="2">
        <v>0</v>
      </c>
      <c r="M1546" s="2">
        <v>30</v>
      </c>
      <c r="N1546" s="2">
        <v>0</v>
      </c>
      <c r="O1546" s="2">
        <v>0</v>
      </c>
      <c r="P1546" s="2">
        <v>0</v>
      </c>
      <c r="Q1546" s="2">
        <v>0</v>
      </c>
      <c r="R1546" s="2">
        <v>0</v>
      </c>
      <c r="S1546" s="2">
        <v>0</v>
      </c>
      <c r="T1546" s="2">
        <v>0</v>
      </c>
      <c r="U1546" s="2">
        <v>0</v>
      </c>
      <c r="W1546" s="2">
        <v>0</v>
      </c>
      <c r="X1546" s="2">
        <v>808.8</v>
      </c>
    </row>
    <row r="1547" spans="1:24" x14ac:dyDescent="0.25">
      <c r="G1547" s="2" t="s">
        <v>2654</v>
      </c>
    </row>
    <row r="1548" spans="1:24" x14ac:dyDescent="0.25">
      <c r="A1548" s="2">
        <v>771</v>
      </c>
      <c r="B1548" s="2">
        <v>13188</v>
      </c>
      <c r="C1548" s="2" t="s">
        <v>2655</v>
      </c>
      <c r="D1548" s="2" t="s">
        <v>56</v>
      </c>
      <c r="E1548" s="2" t="s">
        <v>583</v>
      </c>
      <c r="F1548" s="2" t="s">
        <v>2656</v>
      </c>
      <c r="G1548" s="2">
        <v>808.5</v>
      </c>
      <c r="H1548" s="2">
        <v>0</v>
      </c>
      <c r="I1548" s="2">
        <v>0</v>
      </c>
      <c r="J1548" s="2">
        <v>0</v>
      </c>
      <c r="K1548" s="2">
        <v>0</v>
      </c>
      <c r="L1548" s="2">
        <v>0</v>
      </c>
      <c r="M1548" s="2">
        <v>0</v>
      </c>
      <c r="N1548" s="2">
        <v>0</v>
      </c>
      <c r="O1548" s="2">
        <v>0</v>
      </c>
      <c r="P1548" s="2">
        <v>0</v>
      </c>
      <c r="Q1548" s="2">
        <v>0</v>
      </c>
      <c r="R1548" s="2">
        <v>0</v>
      </c>
      <c r="S1548" s="2">
        <v>0</v>
      </c>
      <c r="T1548" s="2">
        <v>0</v>
      </c>
      <c r="U1548" s="2">
        <v>0</v>
      </c>
      <c r="W1548" s="2">
        <v>0</v>
      </c>
      <c r="X1548" s="2">
        <v>808.5</v>
      </c>
    </row>
    <row r="1549" spans="1:24" x14ac:dyDescent="0.25">
      <c r="G1549" s="2" t="s">
        <v>2657</v>
      </c>
    </row>
    <row r="1550" spans="1:24" x14ac:dyDescent="0.25">
      <c r="A1550" s="2">
        <v>772</v>
      </c>
      <c r="B1550" s="2">
        <v>5973</v>
      </c>
      <c r="C1550" s="2" t="s">
        <v>2658</v>
      </c>
      <c r="D1550" s="2" t="s">
        <v>1435</v>
      </c>
      <c r="E1550" s="2" t="s">
        <v>90</v>
      </c>
      <c r="F1550" s="2" t="s">
        <v>2659</v>
      </c>
      <c r="G1550" s="2">
        <v>808.5</v>
      </c>
      <c r="H1550" s="2">
        <v>0</v>
      </c>
      <c r="I1550" s="2">
        <v>0</v>
      </c>
      <c r="J1550" s="2">
        <v>0</v>
      </c>
      <c r="K1550" s="2">
        <v>0</v>
      </c>
      <c r="L1550" s="2">
        <v>0</v>
      </c>
      <c r="M1550" s="2">
        <v>0</v>
      </c>
      <c r="N1550" s="2">
        <v>0</v>
      </c>
      <c r="O1550" s="2">
        <v>0</v>
      </c>
      <c r="P1550" s="2">
        <v>0</v>
      </c>
      <c r="Q1550" s="2">
        <v>0</v>
      </c>
      <c r="R1550" s="2">
        <v>0</v>
      </c>
      <c r="S1550" s="2">
        <v>0</v>
      </c>
      <c r="T1550" s="2">
        <v>0</v>
      </c>
      <c r="U1550" s="2">
        <v>0</v>
      </c>
      <c r="W1550" s="2">
        <v>0</v>
      </c>
      <c r="X1550" s="2">
        <v>808.5</v>
      </c>
    </row>
    <row r="1551" spans="1:24" x14ac:dyDescent="0.25">
      <c r="G1551" s="2" t="s">
        <v>2660</v>
      </c>
    </row>
    <row r="1552" spans="1:24" x14ac:dyDescent="0.25">
      <c r="A1552" s="2">
        <v>773</v>
      </c>
      <c r="B1552" s="2">
        <v>17574</v>
      </c>
      <c r="C1552" s="2" t="s">
        <v>761</v>
      </c>
      <c r="D1552" s="2" t="s">
        <v>1560</v>
      </c>
      <c r="E1552" s="2" t="s">
        <v>2661</v>
      </c>
      <c r="F1552" s="2" t="s">
        <v>2662</v>
      </c>
      <c r="G1552" s="2">
        <v>748</v>
      </c>
      <c r="H1552" s="2">
        <v>0</v>
      </c>
      <c r="I1552" s="2">
        <v>0</v>
      </c>
      <c r="J1552" s="2">
        <v>0</v>
      </c>
      <c r="K1552" s="2">
        <v>0</v>
      </c>
      <c r="L1552" s="2">
        <v>0</v>
      </c>
      <c r="M1552" s="2">
        <v>30</v>
      </c>
      <c r="N1552" s="2">
        <v>0</v>
      </c>
      <c r="O1552" s="2">
        <v>30</v>
      </c>
      <c r="P1552" s="2">
        <v>0</v>
      </c>
      <c r="Q1552" s="2">
        <v>0</v>
      </c>
      <c r="R1552" s="2">
        <v>0</v>
      </c>
      <c r="S1552" s="2">
        <v>0</v>
      </c>
      <c r="T1552" s="2">
        <v>0</v>
      </c>
      <c r="U1552" s="2">
        <v>0</v>
      </c>
      <c r="W1552" s="2">
        <v>0</v>
      </c>
      <c r="X1552" s="2">
        <v>808</v>
      </c>
    </row>
    <row r="1553" spans="1:24" x14ac:dyDescent="0.25">
      <c r="G1553" s="2" t="s">
        <v>2663</v>
      </c>
    </row>
    <row r="1554" spans="1:24" x14ac:dyDescent="0.25">
      <c r="A1554" s="2">
        <v>774</v>
      </c>
      <c r="B1554" s="2">
        <v>4211</v>
      </c>
      <c r="C1554" s="2" t="s">
        <v>2664</v>
      </c>
      <c r="D1554" s="2" t="s">
        <v>16</v>
      </c>
      <c r="E1554" s="2" t="s">
        <v>79</v>
      </c>
      <c r="F1554" s="2" t="s">
        <v>2665</v>
      </c>
      <c r="G1554" s="2">
        <v>777.7</v>
      </c>
      <c r="H1554" s="2">
        <v>0</v>
      </c>
      <c r="I1554" s="2">
        <v>0</v>
      </c>
      <c r="J1554" s="2">
        <v>0</v>
      </c>
      <c r="K1554" s="2">
        <v>0</v>
      </c>
      <c r="L1554" s="2">
        <v>0</v>
      </c>
      <c r="M1554" s="2">
        <v>30</v>
      </c>
      <c r="N1554" s="2">
        <v>0</v>
      </c>
      <c r="O1554" s="2">
        <v>0</v>
      </c>
      <c r="P1554" s="2">
        <v>0</v>
      </c>
      <c r="Q1554" s="2">
        <v>0</v>
      </c>
      <c r="R1554" s="2">
        <v>0</v>
      </c>
      <c r="S1554" s="2">
        <v>0</v>
      </c>
      <c r="T1554" s="2">
        <v>0</v>
      </c>
      <c r="U1554" s="2">
        <v>0</v>
      </c>
      <c r="W1554" s="2">
        <v>0</v>
      </c>
      <c r="X1554" s="2">
        <v>807.7</v>
      </c>
    </row>
    <row r="1555" spans="1:24" x14ac:dyDescent="0.25">
      <c r="G1555" s="2" t="s">
        <v>2666</v>
      </c>
    </row>
    <row r="1556" spans="1:24" x14ac:dyDescent="0.25">
      <c r="A1556" s="2">
        <v>775</v>
      </c>
      <c r="B1556" s="2">
        <v>3946</v>
      </c>
      <c r="C1556" s="2" t="s">
        <v>2667</v>
      </c>
      <c r="D1556" s="2" t="s">
        <v>117</v>
      </c>
      <c r="E1556" s="2" t="s">
        <v>73</v>
      </c>
      <c r="F1556" s="2" t="s">
        <v>2668</v>
      </c>
      <c r="G1556" s="2">
        <v>777.7</v>
      </c>
      <c r="H1556" s="2">
        <v>0</v>
      </c>
      <c r="I1556" s="2">
        <v>0</v>
      </c>
      <c r="J1556" s="2">
        <v>0</v>
      </c>
      <c r="K1556" s="2">
        <v>0</v>
      </c>
      <c r="L1556" s="2">
        <v>0</v>
      </c>
      <c r="M1556" s="2">
        <v>30</v>
      </c>
      <c r="N1556" s="2">
        <v>0</v>
      </c>
      <c r="O1556" s="2">
        <v>0</v>
      </c>
      <c r="P1556" s="2">
        <v>0</v>
      </c>
      <c r="Q1556" s="2">
        <v>0</v>
      </c>
      <c r="R1556" s="2">
        <v>0</v>
      </c>
      <c r="S1556" s="2">
        <v>0</v>
      </c>
      <c r="T1556" s="2">
        <v>0</v>
      </c>
      <c r="U1556" s="2">
        <v>0</v>
      </c>
      <c r="W1556" s="2">
        <v>1</v>
      </c>
      <c r="X1556" s="2">
        <v>807.7</v>
      </c>
    </row>
    <row r="1557" spans="1:24" x14ac:dyDescent="0.25">
      <c r="G1557" s="2" t="s">
        <v>2669</v>
      </c>
    </row>
    <row r="1558" spans="1:24" x14ac:dyDescent="0.25">
      <c r="A1558" s="2">
        <v>776</v>
      </c>
      <c r="B1558" s="2">
        <v>10316</v>
      </c>
      <c r="C1558" s="2" t="s">
        <v>2670</v>
      </c>
      <c r="D1558" s="2" t="s">
        <v>248</v>
      </c>
      <c r="E1558" s="2" t="s">
        <v>144</v>
      </c>
      <c r="F1558" s="2" t="s">
        <v>2671</v>
      </c>
      <c r="G1558" s="2">
        <v>777.7</v>
      </c>
      <c r="H1558" s="2">
        <v>0</v>
      </c>
      <c r="I1558" s="2">
        <v>0</v>
      </c>
      <c r="J1558" s="2">
        <v>0</v>
      </c>
      <c r="K1558" s="2">
        <v>0</v>
      </c>
      <c r="L1558" s="2">
        <v>0</v>
      </c>
      <c r="M1558" s="2">
        <v>30</v>
      </c>
      <c r="N1558" s="2">
        <v>0</v>
      </c>
      <c r="O1558" s="2">
        <v>0</v>
      </c>
      <c r="P1558" s="2">
        <v>0</v>
      </c>
      <c r="Q1558" s="2">
        <v>0</v>
      </c>
      <c r="R1558" s="2">
        <v>0</v>
      </c>
      <c r="S1558" s="2">
        <v>0</v>
      </c>
      <c r="T1558" s="2">
        <v>0</v>
      </c>
      <c r="U1558" s="2">
        <v>0</v>
      </c>
      <c r="W1558" s="2">
        <v>0</v>
      </c>
      <c r="X1558" s="2">
        <v>807.7</v>
      </c>
    </row>
    <row r="1559" spans="1:24" x14ac:dyDescent="0.25">
      <c r="G1559" s="2" t="s">
        <v>2672</v>
      </c>
    </row>
    <row r="1560" spans="1:24" x14ac:dyDescent="0.25">
      <c r="A1560" s="2">
        <v>777</v>
      </c>
      <c r="B1560" s="2">
        <v>12997</v>
      </c>
      <c r="C1560" s="2" t="s">
        <v>2673</v>
      </c>
      <c r="D1560" s="2" t="s">
        <v>2674</v>
      </c>
      <c r="E1560" s="2" t="s">
        <v>51</v>
      </c>
      <c r="F1560" s="2" t="s">
        <v>2675</v>
      </c>
      <c r="G1560" s="2">
        <v>777.7</v>
      </c>
      <c r="H1560" s="2">
        <v>0</v>
      </c>
      <c r="I1560" s="2">
        <v>0</v>
      </c>
      <c r="J1560" s="2">
        <v>0</v>
      </c>
      <c r="K1560" s="2">
        <v>0</v>
      </c>
      <c r="L1560" s="2">
        <v>0</v>
      </c>
      <c r="M1560" s="2">
        <v>30</v>
      </c>
      <c r="N1560" s="2">
        <v>0</v>
      </c>
      <c r="O1560" s="2">
        <v>0</v>
      </c>
      <c r="P1560" s="2">
        <v>0</v>
      </c>
      <c r="Q1560" s="2">
        <v>0</v>
      </c>
      <c r="R1560" s="2">
        <v>0</v>
      </c>
      <c r="S1560" s="2">
        <v>0</v>
      </c>
      <c r="T1560" s="2">
        <v>0</v>
      </c>
      <c r="U1560" s="2">
        <v>0</v>
      </c>
      <c r="W1560" s="2">
        <v>2</v>
      </c>
      <c r="X1560" s="2">
        <v>807.7</v>
      </c>
    </row>
    <row r="1561" spans="1:24" x14ac:dyDescent="0.25">
      <c r="G1561" s="2" t="s">
        <v>2676</v>
      </c>
    </row>
    <row r="1562" spans="1:24" x14ac:dyDescent="0.25">
      <c r="A1562" s="2">
        <v>778</v>
      </c>
      <c r="B1562" s="2">
        <v>2651</v>
      </c>
      <c r="C1562" s="2" t="s">
        <v>2677</v>
      </c>
      <c r="D1562" s="2" t="s">
        <v>256</v>
      </c>
      <c r="E1562" s="2" t="s">
        <v>1255</v>
      </c>
      <c r="F1562" s="2" t="s">
        <v>2678</v>
      </c>
      <c r="G1562" s="2">
        <v>807.4</v>
      </c>
      <c r="H1562" s="2">
        <v>0</v>
      </c>
      <c r="I1562" s="2">
        <v>0</v>
      </c>
      <c r="J1562" s="2">
        <v>0</v>
      </c>
      <c r="K1562" s="2">
        <v>0</v>
      </c>
      <c r="L1562" s="2">
        <v>0</v>
      </c>
      <c r="M1562" s="2">
        <v>0</v>
      </c>
      <c r="N1562" s="2">
        <v>0</v>
      </c>
      <c r="O1562" s="2">
        <v>0</v>
      </c>
      <c r="P1562" s="2">
        <v>0</v>
      </c>
      <c r="Q1562" s="2">
        <v>0</v>
      </c>
      <c r="R1562" s="2">
        <v>0</v>
      </c>
      <c r="S1562" s="2">
        <v>0</v>
      </c>
      <c r="T1562" s="2">
        <v>0</v>
      </c>
      <c r="U1562" s="2">
        <v>0</v>
      </c>
      <c r="W1562" s="2">
        <v>0</v>
      </c>
      <c r="X1562" s="2">
        <v>807.4</v>
      </c>
    </row>
    <row r="1563" spans="1:24" x14ac:dyDescent="0.25">
      <c r="G1563" s="2" t="s">
        <v>2679</v>
      </c>
    </row>
    <row r="1564" spans="1:24" x14ac:dyDescent="0.25">
      <c r="A1564" s="2">
        <v>779</v>
      </c>
      <c r="B1564" s="2">
        <v>41</v>
      </c>
      <c r="C1564" s="2" t="s">
        <v>2680</v>
      </c>
      <c r="D1564" s="2" t="s">
        <v>1802</v>
      </c>
      <c r="E1564" s="2" t="s">
        <v>73</v>
      </c>
      <c r="F1564" s="2" t="s">
        <v>2681</v>
      </c>
      <c r="G1564" s="2">
        <v>806.3</v>
      </c>
      <c r="H1564" s="2">
        <v>0</v>
      </c>
      <c r="I1564" s="2">
        <v>0</v>
      </c>
      <c r="J1564" s="2">
        <v>0</v>
      </c>
      <c r="K1564" s="2">
        <v>0</v>
      </c>
      <c r="L1564" s="2">
        <v>0</v>
      </c>
      <c r="M1564" s="2">
        <v>0</v>
      </c>
      <c r="N1564" s="2">
        <v>0</v>
      </c>
      <c r="O1564" s="2">
        <v>0</v>
      </c>
      <c r="P1564" s="2">
        <v>0</v>
      </c>
      <c r="Q1564" s="2">
        <v>0</v>
      </c>
      <c r="R1564" s="2">
        <v>0</v>
      </c>
      <c r="S1564" s="2">
        <v>0</v>
      </c>
      <c r="T1564" s="2">
        <v>0</v>
      </c>
      <c r="U1564" s="2">
        <v>0</v>
      </c>
      <c r="W1564" s="2">
        <v>0</v>
      </c>
      <c r="X1564" s="2">
        <v>806.3</v>
      </c>
    </row>
    <row r="1565" spans="1:24" x14ac:dyDescent="0.25">
      <c r="G1565" s="2" t="s">
        <v>2682</v>
      </c>
    </row>
    <row r="1566" spans="1:24" x14ac:dyDescent="0.25">
      <c r="A1566" s="2">
        <v>780</v>
      </c>
      <c r="B1566" s="2">
        <v>11100</v>
      </c>
      <c r="C1566" s="2" t="s">
        <v>2683</v>
      </c>
      <c r="D1566" s="2" t="s">
        <v>73</v>
      </c>
      <c r="E1566" s="2" t="s">
        <v>204</v>
      </c>
      <c r="F1566" s="2" t="s">
        <v>2684</v>
      </c>
      <c r="G1566" s="2">
        <v>806.3</v>
      </c>
      <c r="H1566" s="2">
        <v>0</v>
      </c>
      <c r="I1566" s="2">
        <v>0</v>
      </c>
      <c r="J1566" s="2">
        <v>0</v>
      </c>
      <c r="K1566" s="2">
        <v>0</v>
      </c>
      <c r="L1566" s="2">
        <v>0</v>
      </c>
      <c r="M1566" s="2">
        <v>0</v>
      </c>
      <c r="N1566" s="2">
        <v>0</v>
      </c>
      <c r="O1566" s="2">
        <v>0</v>
      </c>
      <c r="P1566" s="2">
        <v>0</v>
      </c>
      <c r="Q1566" s="2">
        <v>0</v>
      </c>
      <c r="R1566" s="2">
        <v>0</v>
      </c>
      <c r="S1566" s="2">
        <v>0</v>
      </c>
      <c r="T1566" s="2">
        <v>0</v>
      </c>
      <c r="U1566" s="2">
        <v>0</v>
      </c>
      <c r="W1566" s="2">
        <v>0</v>
      </c>
      <c r="X1566" s="2">
        <v>806.3</v>
      </c>
    </row>
    <row r="1567" spans="1:24" x14ac:dyDescent="0.25">
      <c r="G1567" s="2" t="s">
        <v>2685</v>
      </c>
    </row>
    <row r="1568" spans="1:24" x14ac:dyDescent="0.25">
      <c r="A1568" s="2">
        <v>781</v>
      </c>
      <c r="B1568" s="2">
        <v>14307</v>
      </c>
      <c r="C1568" s="2" t="s">
        <v>2686</v>
      </c>
      <c r="D1568" s="2" t="s">
        <v>51</v>
      </c>
      <c r="E1568" s="2" t="s">
        <v>16</v>
      </c>
      <c r="F1568" s="2" t="s">
        <v>2687</v>
      </c>
      <c r="G1568" s="2">
        <v>775.5</v>
      </c>
      <c r="H1568" s="2">
        <v>0</v>
      </c>
      <c r="I1568" s="2">
        <v>0</v>
      </c>
      <c r="J1568" s="2">
        <v>0</v>
      </c>
      <c r="K1568" s="2">
        <v>0</v>
      </c>
      <c r="L1568" s="2">
        <v>0</v>
      </c>
      <c r="M1568" s="2">
        <v>30</v>
      </c>
      <c r="N1568" s="2">
        <v>0</v>
      </c>
      <c r="O1568" s="2">
        <v>0</v>
      </c>
      <c r="P1568" s="2">
        <v>0</v>
      </c>
      <c r="Q1568" s="2">
        <v>0</v>
      </c>
      <c r="R1568" s="2">
        <v>0</v>
      </c>
      <c r="S1568" s="2">
        <v>0</v>
      </c>
      <c r="T1568" s="2">
        <v>0</v>
      </c>
      <c r="U1568" s="2">
        <v>0</v>
      </c>
      <c r="W1568" s="2">
        <v>0</v>
      </c>
      <c r="X1568" s="2">
        <v>805.5</v>
      </c>
    </row>
    <row r="1569" spans="1:24" x14ac:dyDescent="0.25">
      <c r="G1569" s="2" t="s">
        <v>2688</v>
      </c>
    </row>
    <row r="1570" spans="1:24" x14ac:dyDescent="0.25">
      <c r="A1570" s="2">
        <v>782</v>
      </c>
      <c r="B1570" s="2">
        <v>11242</v>
      </c>
      <c r="C1570" s="2" t="s">
        <v>2689</v>
      </c>
      <c r="D1570" s="2" t="s">
        <v>248</v>
      </c>
      <c r="E1570" s="2" t="s">
        <v>16</v>
      </c>
      <c r="F1570" s="2" t="s">
        <v>2690</v>
      </c>
      <c r="G1570" s="2">
        <v>775.5</v>
      </c>
      <c r="H1570" s="2">
        <v>0</v>
      </c>
      <c r="I1570" s="2">
        <v>0</v>
      </c>
      <c r="J1570" s="2">
        <v>0</v>
      </c>
      <c r="K1570" s="2">
        <v>0</v>
      </c>
      <c r="L1570" s="2">
        <v>0</v>
      </c>
      <c r="M1570" s="2">
        <v>30</v>
      </c>
      <c r="N1570" s="2">
        <v>0</v>
      </c>
      <c r="O1570" s="2">
        <v>0</v>
      </c>
      <c r="P1570" s="2">
        <v>0</v>
      </c>
      <c r="Q1570" s="2">
        <v>0</v>
      </c>
      <c r="R1570" s="2">
        <v>0</v>
      </c>
      <c r="S1570" s="2">
        <v>0</v>
      </c>
      <c r="T1570" s="2">
        <v>0</v>
      </c>
      <c r="U1570" s="2">
        <v>0</v>
      </c>
      <c r="W1570" s="2">
        <v>0</v>
      </c>
      <c r="X1570" s="2">
        <v>805.5</v>
      </c>
    </row>
    <row r="1571" spans="1:24" x14ac:dyDescent="0.25">
      <c r="G1571" s="2" t="s">
        <v>2691</v>
      </c>
    </row>
    <row r="1572" spans="1:24" x14ac:dyDescent="0.25">
      <c r="A1572" s="2">
        <v>783</v>
      </c>
      <c r="B1572" s="2">
        <v>14967</v>
      </c>
      <c r="C1572" s="2" t="s">
        <v>2692</v>
      </c>
      <c r="D1572" s="2" t="s">
        <v>2693</v>
      </c>
      <c r="E1572" s="2" t="s">
        <v>39</v>
      </c>
      <c r="F1572" s="2" t="s">
        <v>2694</v>
      </c>
      <c r="G1572" s="2">
        <v>775.5</v>
      </c>
      <c r="H1572" s="2">
        <v>0</v>
      </c>
      <c r="I1572" s="2">
        <v>0</v>
      </c>
      <c r="J1572" s="2">
        <v>0</v>
      </c>
      <c r="K1572" s="2">
        <v>0</v>
      </c>
      <c r="L1572" s="2">
        <v>0</v>
      </c>
      <c r="M1572" s="2">
        <v>30</v>
      </c>
      <c r="N1572" s="2">
        <v>0</v>
      </c>
      <c r="O1572" s="2">
        <v>0</v>
      </c>
      <c r="P1572" s="2">
        <v>0</v>
      </c>
      <c r="Q1572" s="2">
        <v>0</v>
      </c>
      <c r="R1572" s="2">
        <v>0</v>
      </c>
      <c r="S1572" s="2">
        <v>0</v>
      </c>
      <c r="T1572" s="2">
        <v>0</v>
      </c>
      <c r="U1572" s="2">
        <v>0</v>
      </c>
      <c r="W1572" s="2">
        <v>0</v>
      </c>
      <c r="X1572" s="2">
        <v>805.5</v>
      </c>
    </row>
    <row r="1573" spans="1:24" x14ac:dyDescent="0.25">
      <c r="G1573" s="2" t="s">
        <v>2695</v>
      </c>
    </row>
    <row r="1574" spans="1:24" x14ac:dyDescent="0.25">
      <c r="A1574" s="2">
        <v>784</v>
      </c>
      <c r="B1574" s="2">
        <v>1294</v>
      </c>
      <c r="C1574" s="2" t="s">
        <v>2696</v>
      </c>
      <c r="D1574" s="2" t="s">
        <v>73</v>
      </c>
      <c r="E1574" s="2" t="s">
        <v>16</v>
      </c>
      <c r="F1574" s="2" t="s">
        <v>2697</v>
      </c>
      <c r="G1574" s="2">
        <v>775.5</v>
      </c>
      <c r="H1574" s="2">
        <v>0</v>
      </c>
      <c r="I1574" s="2">
        <v>0</v>
      </c>
      <c r="J1574" s="2">
        <v>0</v>
      </c>
      <c r="K1574" s="2">
        <v>0</v>
      </c>
      <c r="L1574" s="2">
        <v>0</v>
      </c>
      <c r="M1574" s="2">
        <v>30</v>
      </c>
      <c r="N1574" s="2">
        <v>0</v>
      </c>
      <c r="O1574" s="2">
        <v>0</v>
      </c>
      <c r="P1574" s="2">
        <v>0</v>
      </c>
      <c r="Q1574" s="2">
        <v>0</v>
      </c>
      <c r="R1574" s="2">
        <v>0</v>
      </c>
      <c r="S1574" s="2">
        <v>0</v>
      </c>
      <c r="T1574" s="2">
        <v>0</v>
      </c>
      <c r="U1574" s="2">
        <v>0</v>
      </c>
      <c r="W1574" s="2">
        <v>0</v>
      </c>
      <c r="X1574" s="2">
        <v>805.5</v>
      </c>
    </row>
    <row r="1575" spans="1:24" x14ac:dyDescent="0.25">
      <c r="G1575" s="2" t="s">
        <v>2698</v>
      </c>
    </row>
    <row r="1576" spans="1:24" x14ac:dyDescent="0.25">
      <c r="A1576" s="2">
        <v>785</v>
      </c>
      <c r="B1576" s="2">
        <v>5311</v>
      </c>
      <c r="C1576" s="2" t="s">
        <v>2699</v>
      </c>
      <c r="D1576" s="2" t="s">
        <v>208</v>
      </c>
      <c r="E1576" s="2" t="s">
        <v>90</v>
      </c>
      <c r="F1576" s="2" t="s">
        <v>2700</v>
      </c>
      <c r="G1576" s="2">
        <v>775.5</v>
      </c>
      <c r="H1576" s="2">
        <v>0</v>
      </c>
      <c r="I1576" s="2">
        <v>0</v>
      </c>
      <c r="J1576" s="2">
        <v>0</v>
      </c>
      <c r="K1576" s="2">
        <v>0</v>
      </c>
      <c r="L1576" s="2">
        <v>0</v>
      </c>
      <c r="M1576" s="2">
        <v>30</v>
      </c>
      <c r="N1576" s="2">
        <v>0</v>
      </c>
      <c r="O1576" s="2">
        <v>0</v>
      </c>
      <c r="P1576" s="2">
        <v>0</v>
      </c>
      <c r="Q1576" s="2">
        <v>0</v>
      </c>
      <c r="R1576" s="2">
        <v>0</v>
      </c>
      <c r="S1576" s="2">
        <v>0</v>
      </c>
      <c r="T1576" s="2">
        <v>0</v>
      </c>
      <c r="U1576" s="2">
        <v>0</v>
      </c>
      <c r="W1576" s="2">
        <v>1</v>
      </c>
      <c r="X1576" s="2">
        <v>805.5</v>
      </c>
    </row>
    <row r="1577" spans="1:24" x14ac:dyDescent="0.25">
      <c r="G1577" s="2" t="s">
        <v>2701</v>
      </c>
    </row>
    <row r="1578" spans="1:24" x14ac:dyDescent="0.25">
      <c r="A1578" s="2">
        <v>786</v>
      </c>
      <c r="B1578" s="2">
        <v>17044</v>
      </c>
      <c r="C1578" s="2" t="s">
        <v>2702</v>
      </c>
      <c r="D1578" s="2" t="s">
        <v>98</v>
      </c>
      <c r="E1578" s="2" t="s">
        <v>51</v>
      </c>
      <c r="F1578" s="2" t="s">
        <v>2703</v>
      </c>
      <c r="G1578" s="2">
        <v>805.2</v>
      </c>
      <c r="H1578" s="2">
        <v>0</v>
      </c>
      <c r="I1578" s="2">
        <v>0</v>
      </c>
      <c r="J1578" s="2">
        <v>0</v>
      </c>
      <c r="K1578" s="2">
        <v>0</v>
      </c>
      <c r="L1578" s="2">
        <v>0</v>
      </c>
      <c r="M1578" s="2">
        <v>0</v>
      </c>
      <c r="N1578" s="2">
        <v>0</v>
      </c>
      <c r="O1578" s="2">
        <v>0</v>
      </c>
      <c r="P1578" s="2">
        <v>0</v>
      </c>
      <c r="Q1578" s="2">
        <v>0</v>
      </c>
      <c r="R1578" s="2">
        <v>0</v>
      </c>
      <c r="S1578" s="2">
        <v>0</v>
      </c>
      <c r="T1578" s="2">
        <v>0</v>
      </c>
      <c r="U1578" s="2">
        <v>0</v>
      </c>
      <c r="W1578" s="2">
        <v>0</v>
      </c>
      <c r="X1578" s="2">
        <v>805.2</v>
      </c>
    </row>
    <row r="1579" spans="1:24" x14ac:dyDescent="0.25">
      <c r="G1579" s="2" t="s">
        <v>2704</v>
      </c>
    </row>
    <row r="1580" spans="1:24" x14ac:dyDescent="0.25">
      <c r="A1580" s="2">
        <v>787</v>
      </c>
      <c r="B1580" s="2">
        <v>7711</v>
      </c>
      <c r="C1580" s="2" t="s">
        <v>2705</v>
      </c>
      <c r="D1580" s="2" t="s">
        <v>16</v>
      </c>
      <c r="E1580" s="2" t="s">
        <v>90</v>
      </c>
      <c r="F1580" s="2" t="s">
        <v>2706</v>
      </c>
      <c r="G1580" s="2">
        <v>805.2</v>
      </c>
      <c r="H1580" s="2">
        <v>0</v>
      </c>
      <c r="I1580" s="2">
        <v>0</v>
      </c>
      <c r="J1580" s="2">
        <v>0</v>
      </c>
      <c r="K1580" s="2">
        <v>0</v>
      </c>
      <c r="L1580" s="2">
        <v>0</v>
      </c>
      <c r="M1580" s="2">
        <v>0</v>
      </c>
      <c r="N1580" s="2">
        <v>0</v>
      </c>
      <c r="O1580" s="2">
        <v>0</v>
      </c>
      <c r="P1580" s="2">
        <v>0</v>
      </c>
      <c r="Q1580" s="2">
        <v>0</v>
      </c>
      <c r="R1580" s="2">
        <v>0</v>
      </c>
      <c r="S1580" s="2">
        <v>0</v>
      </c>
      <c r="T1580" s="2">
        <v>0</v>
      </c>
      <c r="U1580" s="2">
        <v>0</v>
      </c>
      <c r="W1580" s="2">
        <v>0</v>
      </c>
      <c r="X1580" s="2">
        <v>805.2</v>
      </c>
    </row>
    <row r="1581" spans="1:24" x14ac:dyDescent="0.25">
      <c r="G1581" s="2" t="s">
        <v>2707</v>
      </c>
    </row>
    <row r="1582" spans="1:24" x14ac:dyDescent="0.25">
      <c r="A1582" s="2">
        <v>788</v>
      </c>
      <c r="B1582" s="2">
        <v>9085</v>
      </c>
      <c r="C1582" s="2" t="s">
        <v>1296</v>
      </c>
      <c r="D1582" s="2" t="s">
        <v>415</v>
      </c>
      <c r="E1582" s="2" t="s">
        <v>194</v>
      </c>
      <c r="F1582" s="2" t="s">
        <v>2708</v>
      </c>
      <c r="G1582" s="2">
        <v>774.4</v>
      </c>
      <c r="H1582" s="2">
        <v>0</v>
      </c>
      <c r="I1582" s="2">
        <v>0</v>
      </c>
      <c r="J1582" s="2">
        <v>0</v>
      </c>
      <c r="K1582" s="2">
        <v>0</v>
      </c>
      <c r="L1582" s="2">
        <v>0</v>
      </c>
      <c r="M1582" s="2">
        <v>30</v>
      </c>
      <c r="N1582" s="2">
        <v>0</v>
      </c>
      <c r="O1582" s="2">
        <v>0</v>
      </c>
      <c r="P1582" s="2">
        <v>0</v>
      </c>
      <c r="Q1582" s="2">
        <v>0</v>
      </c>
      <c r="R1582" s="2">
        <v>0</v>
      </c>
      <c r="S1582" s="2">
        <v>0</v>
      </c>
      <c r="T1582" s="2">
        <v>0</v>
      </c>
      <c r="U1582" s="2">
        <v>0</v>
      </c>
      <c r="W1582" s="2">
        <v>0</v>
      </c>
      <c r="X1582" s="2">
        <v>804.4</v>
      </c>
    </row>
    <row r="1583" spans="1:24" x14ac:dyDescent="0.25">
      <c r="G1583" s="2" t="s">
        <v>2709</v>
      </c>
    </row>
    <row r="1584" spans="1:24" x14ac:dyDescent="0.25">
      <c r="A1584" s="2">
        <v>789</v>
      </c>
      <c r="B1584" s="2">
        <v>11574</v>
      </c>
      <c r="C1584" s="2" t="s">
        <v>2710</v>
      </c>
      <c r="D1584" s="2" t="s">
        <v>16</v>
      </c>
      <c r="E1584" s="2" t="s">
        <v>1255</v>
      </c>
      <c r="F1584" s="2" t="s">
        <v>2711</v>
      </c>
      <c r="G1584" s="2">
        <v>774.4</v>
      </c>
      <c r="H1584" s="2">
        <v>0</v>
      </c>
      <c r="I1584" s="2">
        <v>0</v>
      </c>
      <c r="J1584" s="2">
        <v>0</v>
      </c>
      <c r="K1584" s="2">
        <v>0</v>
      </c>
      <c r="L1584" s="2">
        <v>0</v>
      </c>
      <c r="M1584" s="2">
        <v>30</v>
      </c>
      <c r="N1584" s="2">
        <v>0</v>
      </c>
      <c r="O1584" s="2">
        <v>0</v>
      </c>
      <c r="P1584" s="2">
        <v>0</v>
      </c>
      <c r="Q1584" s="2">
        <v>0</v>
      </c>
      <c r="R1584" s="2">
        <v>0</v>
      </c>
      <c r="S1584" s="2">
        <v>0</v>
      </c>
      <c r="T1584" s="2">
        <v>0</v>
      </c>
      <c r="U1584" s="2">
        <v>0</v>
      </c>
      <c r="W1584" s="2">
        <v>0</v>
      </c>
      <c r="X1584" s="2">
        <v>804.4</v>
      </c>
    </row>
    <row r="1585" spans="1:24" x14ac:dyDescent="0.25">
      <c r="G1585" s="2" t="s">
        <v>2712</v>
      </c>
    </row>
    <row r="1586" spans="1:24" x14ac:dyDescent="0.25">
      <c r="A1586" s="2">
        <v>790</v>
      </c>
      <c r="B1586" s="2">
        <v>13786</v>
      </c>
      <c r="C1586" s="2" t="s">
        <v>2713</v>
      </c>
      <c r="D1586" s="2" t="s">
        <v>2714</v>
      </c>
      <c r="E1586" s="2" t="s">
        <v>113</v>
      </c>
      <c r="F1586" s="2" t="s">
        <v>2715</v>
      </c>
      <c r="G1586" s="2">
        <v>774.4</v>
      </c>
      <c r="H1586" s="2">
        <v>0</v>
      </c>
      <c r="I1586" s="2">
        <v>0</v>
      </c>
      <c r="J1586" s="2">
        <v>0</v>
      </c>
      <c r="K1586" s="2">
        <v>0</v>
      </c>
      <c r="L1586" s="2">
        <v>0</v>
      </c>
      <c r="M1586" s="2">
        <v>30</v>
      </c>
      <c r="N1586" s="2">
        <v>0</v>
      </c>
      <c r="O1586" s="2">
        <v>0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v>0</v>
      </c>
      <c r="W1586" s="2">
        <v>0</v>
      </c>
      <c r="X1586" s="2">
        <v>804.4</v>
      </c>
    </row>
    <row r="1587" spans="1:24" x14ac:dyDescent="0.25">
      <c r="G1587" s="2" t="s">
        <v>2716</v>
      </c>
    </row>
    <row r="1588" spans="1:24" x14ac:dyDescent="0.25">
      <c r="A1588" s="2">
        <v>791</v>
      </c>
      <c r="B1588" s="2">
        <v>7461</v>
      </c>
      <c r="C1588" s="2" t="s">
        <v>2717</v>
      </c>
      <c r="D1588" s="2" t="s">
        <v>170</v>
      </c>
      <c r="E1588" s="2" t="s">
        <v>194</v>
      </c>
      <c r="F1588" s="2" t="s">
        <v>2718</v>
      </c>
      <c r="G1588" s="2">
        <v>774.4</v>
      </c>
      <c r="H1588" s="2">
        <v>0</v>
      </c>
      <c r="I1588" s="2">
        <v>0</v>
      </c>
      <c r="J1588" s="2">
        <v>0</v>
      </c>
      <c r="K1588" s="2">
        <v>0</v>
      </c>
      <c r="L1588" s="2">
        <v>0</v>
      </c>
      <c r="M1588" s="2">
        <v>30</v>
      </c>
      <c r="N1588" s="2">
        <v>0</v>
      </c>
      <c r="O1588" s="2">
        <v>0</v>
      </c>
      <c r="P1588" s="2">
        <v>0</v>
      </c>
      <c r="Q1588" s="2">
        <v>0</v>
      </c>
      <c r="R1588" s="2">
        <v>0</v>
      </c>
      <c r="S1588" s="2">
        <v>0</v>
      </c>
      <c r="T1588" s="2">
        <v>0</v>
      </c>
      <c r="U1588" s="2">
        <v>0</v>
      </c>
      <c r="W1588" s="2">
        <v>1</v>
      </c>
      <c r="X1588" s="2">
        <v>804.4</v>
      </c>
    </row>
    <row r="1589" spans="1:24" x14ac:dyDescent="0.25">
      <c r="G1589" s="2" t="s">
        <v>2719</v>
      </c>
    </row>
    <row r="1590" spans="1:24" x14ac:dyDescent="0.25">
      <c r="A1590" s="2">
        <v>792</v>
      </c>
      <c r="B1590" s="2">
        <v>1693</v>
      </c>
      <c r="C1590" s="2" t="s">
        <v>2720</v>
      </c>
      <c r="D1590" s="2" t="s">
        <v>2721</v>
      </c>
      <c r="E1590" s="2" t="s">
        <v>194</v>
      </c>
      <c r="F1590" s="2" t="s">
        <v>2722</v>
      </c>
      <c r="G1590" s="2">
        <v>774.4</v>
      </c>
      <c r="H1590" s="2">
        <v>0</v>
      </c>
      <c r="I1590" s="2">
        <v>0</v>
      </c>
      <c r="J1590" s="2">
        <v>0</v>
      </c>
      <c r="K1590" s="2">
        <v>0</v>
      </c>
      <c r="L1590" s="2">
        <v>0</v>
      </c>
      <c r="M1590" s="2">
        <v>30</v>
      </c>
      <c r="N1590" s="2">
        <v>0</v>
      </c>
      <c r="O1590" s="2">
        <v>0</v>
      </c>
      <c r="P1590" s="2">
        <v>0</v>
      </c>
      <c r="Q1590" s="2">
        <v>0</v>
      </c>
      <c r="R1590" s="2">
        <v>0</v>
      </c>
      <c r="S1590" s="2">
        <v>0</v>
      </c>
      <c r="T1590" s="2">
        <v>0</v>
      </c>
      <c r="U1590" s="2">
        <v>0</v>
      </c>
      <c r="W1590" s="2">
        <v>0</v>
      </c>
      <c r="X1590" s="2">
        <v>804.4</v>
      </c>
    </row>
    <row r="1591" spans="1:24" x14ac:dyDescent="0.25">
      <c r="G1591" s="2" t="s">
        <v>2723</v>
      </c>
    </row>
    <row r="1592" spans="1:24" x14ac:dyDescent="0.25">
      <c r="A1592" s="2">
        <v>793</v>
      </c>
      <c r="B1592" s="2">
        <v>2424</v>
      </c>
      <c r="C1592" s="2" t="s">
        <v>2724</v>
      </c>
      <c r="D1592" s="2" t="s">
        <v>56</v>
      </c>
      <c r="E1592" s="2" t="s">
        <v>138</v>
      </c>
      <c r="F1592" s="2" t="s">
        <v>2725</v>
      </c>
      <c r="G1592" s="2">
        <v>804.1</v>
      </c>
      <c r="H1592" s="2">
        <v>0</v>
      </c>
      <c r="I1592" s="2">
        <v>0</v>
      </c>
      <c r="J1592" s="2">
        <v>0</v>
      </c>
      <c r="K1592" s="2">
        <v>0</v>
      </c>
      <c r="L1592" s="2">
        <v>0</v>
      </c>
      <c r="M1592" s="2">
        <v>0</v>
      </c>
      <c r="N1592" s="2">
        <v>0</v>
      </c>
      <c r="O1592" s="2">
        <v>0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v>0</v>
      </c>
      <c r="W1592" s="2">
        <v>2</v>
      </c>
      <c r="X1592" s="2">
        <v>804.1</v>
      </c>
    </row>
    <row r="1593" spans="1:24" x14ac:dyDescent="0.25">
      <c r="G1593" s="2" t="s">
        <v>2726</v>
      </c>
    </row>
    <row r="1594" spans="1:24" x14ac:dyDescent="0.25">
      <c r="A1594" s="2">
        <v>794</v>
      </c>
      <c r="B1594" s="2">
        <v>2151</v>
      </c>
      <c r="C1594" s="2" t="s">
        <v>2727</v>
      </c>
      <c r="D1594" s="2" t="s">
        <v>354</v>
      </c>
      <c r="E1594" s="2" t="s">
        <v>148</v>
      </c>
      <c r="F1594" s="2" t="s">
        <v>2728</v>
      </c>
      <c r="G1594" s="2">
        <v>804.1</v>
      </c>
      <c r="H1594" s="2">
        <v>0</v>
      </c>
      <c r="I1594" s="2">
        <v>0</v>
      </c>
      <c r="J1594" s="2">
        <v>0</v>
      </c>
      <c r="K1594" s="2">
        <v>0</v>
      </c>
      <c r="L1594" s="2">
        <v>0</v>
      </c>
      <c r="M1594" s="2">
        <v>0</v>
      </c>
      <c r="N1594" s="2">
        <v>0</v>
      </c>
      <c r="O1594" s="2">
        <v>0</v>
      </c>
      <c r="P1594" s="2">
        <v>0</v>
      </c>
      <c r="Q1594" s="2">
        <v>0</v>
      </c>
      <c r="R1594" s="2">
        <v>0</v>
      </c>
      <c r="S1594" s="2">
        <v>0</v>
      </c>
      <c r="T1594" s="2">
        <v>0</v>
      </c>
      <c r="U1594" s="2">
        <v>0</v>
      </c>
      <c r="W1594" s="2">
        <v>0</v>
      </c>
      <c r="X1594" s="2">
        <v>804.1</v>
      </c>
    </row>
    <row r="1595" spans="1:24" x14ac:dyDescent="0.25">
      <c r="G1595" s="2" t="s">
        <v>2729</v>
      </c>
    </row>
    <row r="1596" spans="1:24" x14ac:dyDescent="0.25">
      <c r="A1596" s="2">
        <v>795</v>
      </c>
      <c r="B1596" s="2">
        <v>6745</v>
      </c>
      <c r="C1596" s="2" t="s">
        <v>2730</v>
      </c>
      <c r="D1596" s="2" t="s">
        <v>1428</v>
      </c>
      <c r="E1596" s="2" t="s">
        <v>148</v>
      </c>
      <c r="F1596" s="2" t="s">
        <v>2731</v>
      </c>
      <c r="G1596" s="2">
        <v>804.1</v>
      </c>
      <c r="H1596" s="2">
        <v>0</v>
      </c>
      <c r="I1596" s="2">
        <v>0</v>
      </c>
      <c r="J1596" s="2">
        <v>0</v>
      </c>
      <c r="K1596" s="2">
        <v>0</v>
      </c>
      <c r="L1596" s="2">
        <v>0</v>
      </c>
      <c r="M1596" s="2">
        <v>0</v>
      </c>
      <c r="N1596" s="2">
        <v>0</v>
      </c>
      <c r="O1596" s="2">
        <v>0</v>
      </c>
      <c r="P1596" s="2">
        <v>0</v>
      </c>
      <c r="Q1596" s="2">
        <v>0</v>
      </c>
      <c r="R1596" s="2">
        <v>0</v>
      </c>
      <c r="S1596" s="2">
        <v>0</v>
      </c>
      <c r="T1596" s="2">
        <v>0</v>
      </c>
      <c r="U1596" s="2">
        <v>0</v>
      </c>
      <c r="W1596" s="2">
        <v>0</v>
      </c>
      <c r="X1596" s="2">
        <v>804.1</v>
      </c>
    </row>
    <row r="1597" spans="1:24" x14ac:dyDescent="0.25">
      <c r="G1597" s="2" t="s">
        <v>176</v>
      </c>
    </row>
    <row r="1598" spans="1:24" x14ac:dyDescent="0.25">
      <c r="A1598" s="2">
        <v>796</v>
      </c>
      <c r="B1598" s="2">
        <v>8889</v>
      </c>
      <c r="C1598" s="2" t="s">
        <v>2732</v>
      </c>
      <c r="D1598" s="2" t="s">
        <v>2733</v>
      </c>
      <c r="E1598" s="2" t="s">
        <v>2734</v>
      </c>
      <c r="F1598" s="2" t="s">
        <v>2735</v>
      </c>
      <c r="G1598" s="2">
        <v>804.1</v>
      </c>
      <c r="H1598" s="2">
        <v>0</v>
      </c>
      <c r="I1598" s="2">
        <v>0</v>
      </c>
      <c r="J1598" s="2">
        <v>0</v>
      </c>
      <c r="K1598" s="2">
        <v>0</v>
      </c>
      <c r="L1598" s="2">
        <v>0</v>
      </c>
      <c r="M1598" s="2">
        <v>0</v>
      </c>
      <c r="N1598" s="2">
        <v>0</v>
      </c>
      <c r="O1598" s="2">
        <v>0</v>
      </c>
      <c r="P1598" s="2">
        <v>0</v>
      </c>
      <c r="Q1598" s="2">
        <v>0</v>
      </c>
      <c r="R1598" s="2">
        <v>0</v>
      </c>
      <c r="S1598" s="2">
        <v>0</v>
      </c>
      <c r="T1598" s="2">
        <v>0</v>
      </c>
      <c r="U1598" s="2">
        <v>0</v>
      </c>
      <c r="W1598" s="2">
        <v>0</v>
      </c>
      <c r="X1598" s="2">
        <v>804.1</v>
      </c>
    </row>
    <row r="1599" spans="1:24" x14ac:dyDescent="0.25">
      <c r="G1599" s="2" t="s">
        <v>2736</v>
      </c>
    </row>
    <row r="1600" spans="1:24" x14ac:dyDescent="0.25">
      <c r="A1600" s="2">
        <v>797</v>
      </c>
      <c r="B1600" s="2">
        <v>10610</v>
      </c>
      <c r="C1600" s="2" t="s">
        <v>1541</v>
      </c>
      <c r="D1600" s="2" t="s">
        <v>2737</v>
      </c>
      <c r="E1600" s="2" t="s">
        <v>51</v>
      </c>
      <c r="F1600" s="2" t="s">
        <v>2738</v>
      </c>
      <c r="G1600" s="2">
        <v>773.3</v>
      </c>
      <c r="H1600" s="2">
        <v>0</v>
      </c>
      <c r="I1600" s="2">
        <v>0</v>
      </c>
      <c r="J1600" s="2">
        <v>0</v>
      </c>
      <c r="K1600" s="2">
        <v>0</v>
      </c>
      <c r="L1600" s="2">
        <v>0</v>
      </c>
      <c r="M1600" s="2">
        <v>30</v>
      </c>
      <c r="N1600" s="2">
        <v>0</v>
      </c>
      <c r="O1600" s="2">
        <v>0</v>
      </c>
      <c r="P1600" s="2">
        <v>0</v>
      </c>
      <c r="Q1600" s="2">
        <v>0</v>
      </c>
      <c r="R1600" s="2">
        <v>0</v>
      </c>
      <c r="S1600" s="2">
        <v>0</v>
      </c>
      <c r="T1600" s="2">
        <v>0</v>
      </c>
      <c r="U1600" s="2">
        <v>0</v>
      </c>
      <c r="W1600" s="2">
        <v>0</v>
      </c>
      <c r="X1600" s="2">
        <v>803.3</v>
      </c>
    </row>
    <row r="1601" spans="1:24" x14ac:dyDescent="0.25">
      <c r="G1601" s="2" t="s">
        <v>2739</v>
      </c>
    </row>
    <row r="1602" spans="1:24" x14ac:dyDescent="0.25">
      <c r="A1602" s="2">
        <v>798</v>
      </c>
      <c r="B1602" s="2">
        <v>2534</v>
      </c>
      <c r="C1602" s="2" t="s">
        <v>2349</v>
      </c>
      <c r="D1602" s="2" t="s">
        <v>1841</v>
      </c>
      <c r="E1602" s="2" t="s">
        <v>84</v>
      </c>
      <c r="F1602" s="2" t="s">
        <v>2740</v>
      </c>
      <c r="G1602" s="2">
        <v>773.3</v>
      </c>
      <c r="H1602" s="2">
        <v>0</v>
      </c>
      <c r="I1602" s="2">
        <v>0</v>
      </c>
      <c r="J1602" s="2">
        <v>0</v>
      </c>
      <c r="K1602" s="2">
        <v>0</v>
      </c>
      <c r="L1602" s="2">
        <v>0</v>
      </c>
      <c r="M1602" s="2">
        <v>30</v>
      </c>
      <c r="N1602" s="2">
        <v>0</v>
      </c>
      <c r="O1602" s="2">
        <v>0</v>
      </c>
      <c r="P1602" s="2">
        <v>0</v>
      </c>
      <c r="Q1602" s="2">
        <v>0</v>
      </c>
      <c r="R1602" s="2">
        <v>0</v>
      </c>
      <c r="S1602" s="2">
        <v>0</v>
      </c>
      <c r="T1602" s="2">
        <v>0</v>
      </c>
      <c r="U1602" s="2">
        <v>0</v>
      </c>
      <c r="W1602" s="2">
        <v>2</v>
      </c>
      <c r="X1602" s="2">
        <v>803.3</v>
      </c>
    </row>
    <row r="1603" spans="1:24" x14ac:dyDescent="0.25">
      <c r="G1603" s="2" t="s">
        <v>2741</v>
      </c>
    </row>
    <row r="1604" spans="1:24" x14ac:dyDescent="0.25">
      <c r="A1604" s="2">
        <v>799</v>
      </c>
      <c r="B1604" s="2">
        <v>11128</v>
      </c>
      <c r="C1604" s="2" t="s">
        <v>2742</v>
      </c>
      <c r="D1604" s="2" t="s">
        <v>38</v>
      </c>
      <c r="E1604" s="2" t="s">
        <v>73</v>
      </c>
      <c r="F1604" s="2" t="s">
        <v>2743</v>
      </c>
      <c r="G1604" s="2">
        <v>803</v>
      </c>
      <c r="H1604" s="2">
        <v>0</v>
      </c>
      <c r="I1604" s="2">
        <v>0</v>
      </c>
      <c r="J1604" s="2">
        <v>0</v>
      </c>
      <c r="K1604" s="2">
        <v>0</v>
      </c>
      <c r="L1604" s="2">
        <v>0</v>
      </c>
      <c r="M1604" s="2">
        <v>0</v>
      </c>
      <c r="N1604" s="2">
        <v>0</v>
      </c>
      <c r="O1604" s="2">
        <v>0</v>
      </c>
      <c r="P1604" s="2">
        <v>0</v>
      </c>
      <c r="Q1604" s="2">
        <v>0</v>
      </c>
      <c r="R1604" s="2">
        <v>0</v>
      </c>
      <c r="S1604" s="2">
        <v>0</v>
      </c>
      <c r="T1604" s="2">
        <v>0</v>
      </c>
      <c r="U1604" s="2">
        <v>0</v>
      </c>
      <c r="W1604" s="2">
        <v>0</v>
      </c>
      <c r="X1604" s="2">
        <v>803</v>
      </c>
    </row>
    <row r="1605" spans="1:24" x14ac:dyDescent="0.25">
      <c r="G1605" s="2" t="s">
        <v>2744</v>
      </c>
    </row>
    <row r="1606" spans="1:24" x14ac:dyDescent="0.25">
      <c r="A1606" s="2">
        <v>800</v>
      </c>
      <c r="B1606" s="2">
        <v>5727</v>
      </c>
      <c r="C1606" s="2" t="s">
        <v>2745</v>
      </c>
      <c r="D1606" s="2" t="s">
        <v>89</v>
      </c>
      <c r="E1606" s="2" t="s">
        <v>90</v>
      </c>
      <c r="F1606" s="2" t="s">
        <v>2746</v>
      </c>
      <c r="G1606" s="2">
        <v>772.2</v>
      </c>
      <c r="H1606" s="2">
        <v>0</v>
      </c>
      <c r="I1606" s="2">
        <v>0</v>
      </c>
      <c r="J1606" s="2">
        <v>0</v>
      </c>
      <c r="K1606" s="2">
        <v>0</v>
      </c>
      <c r="L1606" s="2">
        <v>0</v>
      </c>
      <c r="M1606" s="2">
        <v>30</v>
      </c>
      <c r="N1606" s="2">
        <v>0</v>
      </c>
      <c r="O1606" s="2">
        <v>0</v>
      </c>
      <c r="P1606" s="2">
        <v>0</v>
      </c>
      <c r="Q1606" s="2">
        <v>0</v>
      </c>
      <c r="R1606" s="2">
        <v>0</v>
      </c>
      <c r="S1606" s="2">
        <v>0</v>
      </c>
      <c r="T1606" s="2">
        <v>0</v>
      </c>
      <c r="U1606" s="2">
        <v>0</v>
      </c>
      <c r="W1606" s="2">
        <v>0</v>
      </c>
      <c r="X1606" s="2">
        <v>802.2</v>
      </c>
    </row>
    <row r="1607" spans="1:24" x14ac:dyDescent="0.25">
      <c r="G1607" s="2" t="s">
        <v>2747</v>
      </c>
    </row>
    <row r="1608" spans="1:24" x14ac:dyDescent="0.25">
      <c r="A1608" s="2">
        <v>801</v>
      </c>
      <c r="B1608" s="2">
        <v>5448</v>
      </c>
      <c r="C1608" s="2" t="s">
        <v>1519</v>
      </c>
      <c r="D1608" s="2" t="s">
        <v>248</v>
      </c>
      <c r="E1608" s="2" t="s">
        <v>1677</v>
      </c>
      <c r="F1608" s="2" t="s">
        <v>2748</v>
      </c>
      <c r="G1608" s="2">
        <v>772.2</v>
      </c>
      <c r="H1608" s="2">
        <v>0</v>
      </c>
      <c r="I1608" s="2">
        <v>0</v>
      </c>
      <c r="J1608" s="2">
        <v>0</v>
      </c>
      <c r="K1608" s="2">
        <v>0</v>
      </c>
      <c r="L1608" s="2">
        <v>0</v>
      </c>
      <c r="M1608" s="2">
        <v>30</v>
      </c>
      <c r="N1608" s="2">
        <v>0</v>
      </c>
      <c r="O1608" s="2">
        <v>0</v>
      </c>
      <c r="P1608" s="2">
        <v>0</v>
      </c>
      <c r="Q1608" s="2">
        <v>0</v>
      </c>
      <c r="R1608" s="2">
        <v>0</v>
      </c>
      <c r="S1608" s="2">
        <v>0</v>
      </c>
      <c r="T1608" s="2">
        <v>0</v>
      </c>
      <c r="U1608" s="2">
        <v>0</v>
      </c>
      <c r="W1608" s="2">
        <v>0</v>
      </c>
      <c r="X1608" s="2">
        <v>802.2</v>
      </c>
    </row>
    <row r="1609" spans="1:24" x14ac:dyDescent="0.25">
      <c r="G1609" s="2" t="s">
        <v>2749</v>
      </c>
    </row>
    <row r="1610" spans="1:24" x14ac:dyDescent="0.25">
      <c r="A1610" s="2">
        <v>802</v>
      </c>
      <c r="B1610" s="2">
        <v>14267</v>
      </c>
      <c r="C1610" s="2" t="s">
        <v>2750</v>
      </c>
      <c r="D1610" s="2" t="s">
        <v>1370</v>
      </c>
      <c r="E1610" s="2" t="s">
        <v>2664</v>
      </c>
      <c r="F1610" s="2" t="s">
        <v>2751</v>
      </c>
      <c r="G1610" s="2">
        <v>772.2</v>
      </c>
      <c r="H1610" s="2">
        <v>0</v>
      </c>
      <c r="I1610" s="2">
        <v>0</v>
      </c>
      <c r="J1610" s="2">
        <v>0</v>
      </c>
      <c r="K1610" s="2">
        <v>0</v>
      </c>
      <c r="L1610" s="2">
        <v>0</v>
      </c>
      <c r="M1610" s="2">
        <v>30</v>
      </c>
      <c r="N1610" s="2">
        <v>0</v>
      </c>
      <c r="O1610" s="2">
        <v>0</v>
      </c>
      <c r="P1610" s="2">
        <v>0</v>
      </c>
      <c r="Q1610" s="2">
        <v>0</v>
      </c>
      <c r="R1610" s="2">
        <v>0</v>
      </c>
      <c r="S1610" s="2">
        <v>0</v>
      </c>
      <c r="T1610" s="2">
        <v>0</v>
      </c>
      <c r="U1610" s="2">
        <v>0</v>
      </c>
      <c r="W1610" s="2">
        <v>0</v>
      </c>
      <c r="X1610" s="2">
        <v>802.2</v>
      </c>
    </row>
    <row r="1611" spans="1:24" x14ac:dyDescent="0.25">
      <c r="G1611" s="2" t="s">
        <v>2752</v>
      </c>
    </row>
    <row r="1612" spans="1:24" x14ac:dyDescent="0.25">
      <c r="A1612" s="2">
        <v>803</v>
      </c>
      <c r="B1612" s="2">
        <v>17535</v>
      </c>
      <c r="C1612" s="2" t="s">
        <v>1794</v>
      </c>
      <c r="D1612" s="2" t="s">
        <v>39</v>
      </c>
      <c r="E1612" s="2" t="s">
        <v>193</v>
      </c>
      <c r="F1612" s="2" t="s">
        <v>2753</v>
      </c>
      <c r="G1612" s="2">
        <v>801.9</v>
      </c>
      <c r="H1612" s="2">
        <v>0</v>
      </c>
      <c r="I1612" s="2">
        <v>0</v>
      </c>
      <c r="J1612" s="2">
        <v>0</v>
      </c>
      <c r="K1612" s="2">
        <v>0</v>
      </c>
      <c r="L1612" s="2">
        <v>0</v>
      </c>
      <c r="M1612" s="2">
        <v>0</v>
      </c>
      <c r="N1612" s="2">
        <v>0</v>
      </c>
      <c r="O1612" s="2">
        <v>0</v>
      </c>
      <c r="P1612" s="2">
        <v>0</v>
      </c>
      <c r="Q1612" s="2">
        <v>0</v>
      </c>
      <c r="R1612" s="2">
        <v>0</v>
      </c>
      <c r="S1612" s="2">
        <v>0</v>
      </c>
      <c r="T1612" s="2">
        <v>0</v>
      </c>
      <c r="U1612" s="2">
        <v>0</v>
      </c>
      <c r="W1612" s="2">
        <v>0</v>
      </c>
      <c r="X1612" s="2">
        <v>801.9</v>
      </c>
    </row>
    <row r="1613" spans="1:24" x14ac:dyDescent="0.25">
      <c r="G1613" s="2" t="s">
        <v>2754</v>
      </c>
    </row>
    <row r="1614" spans="1:24" x14ac:dyDescent="0.25">
      <c r="A1614" s="2">
        <v>804</v>
      </c>
      <c r="B1614" s="2">
        <v>11390</v>
      </c>
      <c r="C1614" s="2" t="s">
        <v>2755</v>
      </c>
      <c r="D1614" s="2" t="s">
        <v>132</v>
      </c>
      <c r="E1614" s="2" t="s">
        <v>2756</v>
      </c>
      <c r="F1614" s="2" t="s">
        <v>2757</v>
      </c>
      <c r="G1614" s="2">
        <v>801.9</v>
      </c>
      <c r="H1614" s="2">
        <v>0</v>
      </c>
      <c r="I1614" s="2">
        <v>0</v>
      </c>
      <c r="J1614" s="2">
        <v>0</v>
      </c>
      <c r="K1614" s="2">
        <v>0</v>
      </c>
      <c r="L1614" s="2">
        <v>0</v>
      </c>
      <c r="M1614" s="2">
        <v>0</v>
      </c>
      <c r="N1614" s="2">
        <v>0</v>
      </c>
      <c r="O1614" s="2">
        <v>0</v>
      </c>
      <c r="P1614" s="2">
        <v>0</v>
      </c>
      <c r="Q1614" s="2">
        <v>0</v>
      </c>
      <c r="R1614" s="2">
        <v>0</v>
      </c>
      <c r="S1614" s="2">
        <v>0</v>
      </c>
      <c r="T1614" s="2">
        <v>0</v>
      </c>
      <c r="U1614" s="2">
        <v>0</v>
      </c>
      <c r="W1614" s="2">
        <v>0</v>
      </c>
      <c r="X1614" s="2">
        <v>801.9</v>
      </c>
    </row>
    <row r="1615" spans="1:24" x14ac:dyDescent="0.25">
      <c r="G1615" s="2" t="s">
        <v>2758</v>
      </c>
    </row>
    <row r="1616" spans="1:24" x14ac:dyDescent="0.25">
      <c r="A1616" s="2">
        <v>805</v>
      </c>
      <c r="B1616" s="2">
        <v>878</v>
      </c>
      <c r="C1616" s="2" t="s">
        <v>2759</v>
      </c>
      <c r="D1616" s="2" t="s">
        <v>170</v>
      </c>
      <c r="E1616" s="2" t="s">
        <v>342</v>
      </c>
      <c r="F1616" s="2" t="s">
        <v>2760</v>
      </c>
      <c r="G1616" s="2">
        <v>801.9</v>
      </c>
      <c r="H1616" s="2">
        <v>0</v>
      </c>
      <c r="I1616" s="2">
        <v>0</v>
      </c>
      <c r="J1616" s="2">
        <v>0</v>
      </c>
      <c r="K1616" s="2">
        <v>0</v>
      </c>
      <c r="L1616" s="2">
        <v>0</v>
      </c>
      <c r="M1616" s="2">
        <v>0</v>
      </c>
      <c r="N1616" s="2">
        <v>0</v>
      </c>
      <c r="O1616" s="2">
        <v>0</v>
      </c>
      <c r="P1616" s="2">
        <v>0</v>
      </c>
      <c r="Q1616" s="2">
        <v>0</v>
      </c>
      <c r="R1616" s="2">
        <v>0</v>
      </c>
      <c r="S1616" s="2">
        <v>0</v>
      </c>
      <c r="T1616" s="2">
        <v>0</v>
      </c>
      <c r="U1616" s="2">
        <v>0</v>
      </c>
      <c r="W1616" s="2">
        <v>1</v>
      </c>
      <c r="X1616" s="2">
        <v>801.9</v>
      </c>
    </row>
    <row r="1617" spans="1:24" x14ac:dyDescent="0.25">
      <c r="G1617" s="2" t="s">
        <v>2761</v>
      </c>
    </row>
    <row r="1618" spans="1:24" x14ac:dyDescent="0.25">
      <c r="A1618" s="2">
        <v>806</v>
      </c>
      <c r="B1618" s="2">
        <v>10392</v>
      </c>
      <c r="C1618" s="2" t="s">
        <v>2762</v>
      </c>
      <c r="D1618" s="2" t="s">
        <v>248</v>
      </c>
      <c r="E1618" s="2" t="s">
        <v>84</v>
      </c>
      <c r="F1618" s="2" t="s">
        <v>2763</v>
      </c>
      <c r="G1618" s="2">
        <v>771.1</v>
      </c>
      <c r="H1618" s="2">
        <v>0</v>
      </c>
      <c r="I1618" s="2">
        <v>0</v>
      </c>
      <c r="J1618" s="2">
        <v>0</v>
      </c>
      <c r="K1618" s="2">
        <v>0</v>
      </c>
      <c r="L1618" s="2">
        <v>0</v>
      </c>
      <c r="M1618" s="2">
        <v>30</v>
      </c>
      <c r="N1618" s="2">
        <v>0</v>
      </c>
      <c r="O1618" s="2">
        <v>0</v>
      </c>
      <c r="P1618" s="2">
        <v>0</v>
      </c>
      <c r="Q1618" s="2">
        <v>0</v>
      </c>
      <c r="R1618" s="2">
        <v>0</v>
      </c>
      <c r="S1618" s="2">
        <v>0</v>
      </c>
      <c r="T1618" s="2">
        <v>0</v>
      </c>
      <c r="U1618" s="2">
        <v>0</v>
      </c>
      <c r="W1618" s="2">
        <v>0</v>
      </c>
      <c r="X1618" s="2">
        <v>801.1</v>
      </c>
    </row>
    <row r="1619" spans="1:24" x14ac:dyDescent="0.25">
      <c r="G1619" s="2" t="s">
        <v>2764</v>
      </c>
    </row>
    <row r="1620" spans="1:24" x14ac:dyDescent="0.25">
      <c r="A1620" s="2">
        <v>807</v>
      </c>
      <c r="B1620" s="2">
        <v>8340</v>
      </c>
      <c r="C1620" s="2" t="s">
        <v>2765</v>
      </c>
      <c r="D1620" s="2" t="s">
        <v>264</v>
      </c>
      <c r="E1620" s="2" t="s">
        <v>78</v>
      </c>
      <c r="F1620" s="2" t="s">
        <v>2766</v>
      </c>
      <c r="G1620" s="2">
        <v>771.1</v>
      </c>
      <c r="H1620" s="2">
        <v>0</v>
      </c>
      <c r="I1620" s="2">
        <v>0</v>
      </c>
      <c r="J1620" s="2">
        <v>0</v>
      </c>
      <c r="K1620" s="2">
        <v>0</v>
      </c>
      <c r="L1620" s="2">
        <v>0</v>
      </c>
      <c r="M1620" s="2">
        <v>30</v>
      </c>
      <c r="N1620" s="2">
        <v>0</v>
      </c>
      <c r="O1620" s="2">
        <v>0</v>
      </c>
      <c r="P1620" s="2">
        <v>0</v>
      </c>
      <c r="Q1620" s="2">
        <v>0</v>
      </c>
      <c r="R1620" s="2">
        <v>0</v>
      </c>
      <c r="S1620" s="2">
        <v>0</v>
      </c>
      <c r="T1620" s="2">
        <v>0</v>
      </c>
      <c r="U1620" s="2">
        <v>0</v>
      </c>
      <c r="W1620" s="2">
        <v>0</v>
      </c>
      <c r="X1620" s="2">
        <v>801.1</v>
      </c>
    </row>
    <row r="1621" spans="1:24" x14ac:dyDescent="0.25">
      <c r="G1621" s="2" t="s">
        <v>2767</v>
      </c>
    </row>
    <row r="1622" spans="1:24" x14ac:dyDescent="0.25">
      <c r="A1622" s="2">
        <v>808</v>
      </c>
      <c r="B1622" s="2">
        <v>10725</v>
      </c>
      <c r="C1622" s="2" t="s">
        <v>2768</v>
      </c>
      <c r="D1622" s="2" t="s">
        <v>108</v>
      </c>
      <c r="E1622" s="2" t="s">
        <v>194</v>
      </c>
      <c r="F1622" s="2" t="s">
        <v>2769</v>
      </c>
      <c r="G1622" s="2">
        <v>771.1</v>
      </c>
      <c r="H1622" s="2">
        <v>0</v>
      </c>
      <c r="I1622" s="2">
        <v>0</v>
      </c>
      <c r="J1622" s="2">
        <v>0</v>
      </c>
      <c r="K1622" s="2">
        <v>0</v>
      </c>
      <c r="L1622" s="2">
        <v>0</v>
      </c>
      <c r="M1622" s="2">
        <v>30</v>
      </c>
      <c r="N1622" s="2">
        <v>0</v>
      </c>
      <c r="O1622" s="2">
        <v>0</v>
      </c>
      <c r="P1622" s="2">
        <v>0</v>
      </c>
      <c r="Q1622" s="2">
        <v>0</v>
      </c>
      <c r="R1622" s="2">
        <v>0</v>
      </c>
      <c r="S1622" s="2">
        <v>0</v>
      </c>
      <c r="T1622" s="2">
        <v>0</v>
      </c>
      <c r="U1622" s="2">
        <v>0</v>
      </c>
      <c r="W1622" s="2">
        <v>0</v>
      </c>
      <c r="X1622" s="2">
        <v>801.1</v>
      </c>
    </row>
    <row r="1623" spans="1:24" x14ac:dyDescent="0.25">
      <c r="G1623" s="2" t="s">
        <v>2770</v>
      </c>
    </row>
    <row r="1624" spans="1:24" x14ac:dyDescent="0.25">
      <c r="A1624" s="2">
        <v>809</v>
      </c>
      <c r="B1624" s="2">
        <v>2217</v>
      </c>
      <c r="C1624" s="2" t="s">
        <v>2771</v>
      </c>
      <c r="D1624" s="2" t="s">
        <v>194</v>
      </c>
      <c r="E1624" s="2" t="s">
        <v>51</v>
      </c>
      <c r="F1624" s="2" t="s">
        <v>2772</v>
      </c>
      <c r="G1624" s="2">
        <v>771.1</v>
      </c>
      <c r="H1624" s="2">
        <v>0</v>
      </c>
      <c r="I1624" s="2">
        <v>0</v>
      </c>
      <c r="J1624" s="2">
        <v>0</v>
      </c>
      <c r="K1624" s="2">
        <v>0</v>
      </c>
      <c r="L1624" s="2">
        <v>0</v>
      </c>
      <c r="M1624" s="2">
        <v>30</v>
      </c>
      <c r="N1624" s="2">
        <v>0</v>
      </c>
      <c r="O1624" s="2">
        <v>0</v>
      </c>
      <c r="P1624" s="2">
        <v>0</v>
      </c>
      <c r="Q1624" s="2">
        <v>0</v>
      </c>
      <c r="R1624" s="2">
        <v>0</v>
      </c>
      <c r="S1624" s="2">
        <v>0</v>
      </c>
      <c r="T1624" s="2">
        <v>0</v>
      </c>
      <c r="U1624" s="2">
        <v>0</v>
      </c>
      <c r="W1624" s="2">
        <v>0</v>
      </c>
      <c r="X1624" s="2">
        <v>801.1</v>
      </c>
    </row>
    <row r="1625" spans="1:24" x14ac:dyDescent="0.25">
      <c r="G1625" s="2" t="s">
        <v>2773</v>
      </c>
    </row>
    <row r="1626" spans="1:24" x14ac:dyDescent="0.25">
      <c r="A1626" s="2">
        <v>810</v>
      </c>
      <c r="B1626" s="2">
        <v>11151</v>
      </c>
      <c r="C1626" s="2" t="s">
        <v>2774</v>
      </c>
      <c r="D1626" s="2" t="s">
        <v>687</v>
      </c>
      <c r="E1626" s="2" t="s">
        <v>16</v>
      </c>
      <c r="F1626" s="2" t="s">
        <v>2775</v>
      </c>
      <c r="G1626" s="2">
        <v>800.8</v>
      </c>
      <c r="H1626" s="2">
        <v>0</v>
      </c>
      <c r="I1626" s="2">
        <v>0</v>
      </c>
      <c r="J1626" s="2">
        <v>0</v>
      </c>
      <c r="K1626" s="2">
        <v>0</v>
      </c>
      <c r="L1626" s="2">
        <v>0</v>
      </c>
      <c r="M1626" s="2">
        <v>0</v>
      </c>
      <c r="N1626" s="2">
        <v>0</v>
      </c>
      <c r="O1626" s="2">
        <v>0</v>
      </c>
      <c r="P1626" s="2">
        <v>0</v>
      </c>
      <c r="Q1626" s="2">
        <v>0</v>
      </c>
      <c r="R1626" s="2">
        <v>0</v>
      </c>
      <c r="S1626" s="2">
        <v>0</v>
      </c>
      <c r="T1626" s="2">
        <v>0</v>
      </c>
      <c r="U1626" s="2">
        <v>0</v>
      </c>
      <c r="W1626" s="2">
        <v>0</v>
      </c>
      <c r="X1626" s="2">
        <v>800.8</v>
      </c>
    </row>
    <row r="1627" spans="1:24" x14ac:dyDescent="0.25">
      <c r="G1627" s="2" t="s">
        <v>2776</v>
      </c>
    </row>
    <row r="1628" spans="1:24" x14ac:dyDescent="0.25">
      <c r="A1628" s="2">
        <v>811</v>
      </c>
      <c r="B1628" s="2">
        <v>10356</v>
      </c>
      <c r="C1628" s="2" t="s">
        <v>2777</v>
      </c>
      <c r="D1628" s="2" t="s">
        <v>1943</v>
      </c>
      <c r="E1628" s="2" t="s">
        <v>165</v>
      </c>
      <c r="F1628" s="2" t="s">
        <v>2778</v>
      </c>
      <c r="G1628" s="2">
        <v>800.8</v>
      </c>
      <c r="H1628" s="2">
        <v>0</v>
      </c>
      <c r="I1628" s="2">
        <v>0</v>
      </c>
      <c r="J1628" s="2">
        <v>0</v>
      </c>
      <c r="K1628" s="2">
        <v>0</v>
      </c>
      <c r="L1628" s="2">
        <v>0</v>
      </c>
      <c r="M1628" s="2">
        <v>0</v>
      </c>
      <c r="N1628" s="2">
        <v>0</v>
      </c>
      <c r="O1628" s="2">
        <v>0</v>
      </c>
      <c r="P1628" s="2">
        <v>0</v>
      </c>
      <c r="Q1628" s="2">
        <v>0</v>
      </c>
      <c r="R1628" s="2">
        <v>0</v>
      </c>
      <c r="S1628" s="2">
        <v>0</v>
      </c>
      <c r="T1628" s="2">
        <v>0</v>
      </c>
      <c r="U1628" s="2">
        <v>0</v>
      </c>
      <c r="W1628" s="2">
        <v>0</v>
      </c>
      <c r="X1628" s="2">
        <v>800.8</v>
      </c>
    </row>
    <row r="1629" spans="1:24" x14ac:dyDescent="0.25">
      <c r="G1629" s="2" t="s">
        <v>2779</v>
      </c>
    </row>
    <row r="1630" spans="1:24" x14ac:dyDescent="0.25">
      <c r="A1630" s="2">
        <v>812</v>
      </c>
      <c r="B1630" s="2">
        <v>3183</v>
      </c>
      <c r="C1630" s="2" t="s">
        <v>2780</v>
      </c>
      <c r="D1630" s="2" t="s">
        <v>112</v>
      </c>
      <c r="E1630" s="2" t="s">
        <v>90</v>
      </c>
      <c r="F1630" s="2" t="s">
        <v>2781</v>
      </c>
      <c r="G1630" s="2">
        <v>800.8</v>
      </c>
      <c r="H1630" s="2">
        <v>0</v>
      </c>
      <c r="I1630" s="2">
        <v>0</v>
      </c>
      <c r="J1630" s="2">
        <v>0</v>
      </c>
      <c r="K1630" s="2">
        <v>0</v>
      </c>
      <c r="L1630" s="2">
        <v>0</v>
      </c>
      <c r="M1630" s="2">
        <v>0</v>
      </c>
      <c r="N1630" s="2">
        <v>0</v>
      </c>
      <c r="O1630" s="2">
        <v>0</v>
      </c>
      <c r="P1630" s="2">
        <v>0</v>
      </c>
      <c r="Q1630" s="2">
        <v>0</v>
      </c>
      <c r="R1630" s="2">
        <v>0</v>
      </c>
      <c r="S1630" s="2">
        <v>0</v>
      </c>
      <c r="T1630" s="2">
        <v>0</v>
      </c>
      <c r="U1630" s="2">
        <v>0</v>
      </c>
      <c r="W1630" s="2">
        <v>0</v>
      </c>
      <c r="X1630" s="2">
        <v>800.8</v>
      </c>
    </row>
    <row r="1631" spans="1:24" x14ac:dyDescent="0.25">
      <c r="G1631" s="2" t="s">
        <v>2782</v>
      </c>
    </row>
    <row r="1632" spans="1:24" x14ac:dyDescent="0.25">
      <c r="A1632" s="2">
        <v>813</v>
      </c>
      <c r="B1632" s="2">
        <v>6451</v>
      </c>
      <c r="C1632" s="2" t="s">
        <v>2783</v>
      </c>
      <c r="D1632" s="2" t="s">
        <v>84</v>
      </c>
      <c r="E1632" s="2" t="s">
        <v>148</v>
      </c>
      <c r="F1632" s="2" t="s">
        <v>2784</v>
      </c>
      <c r="G1632" s="2">
        <v>750.2</v>
      </c>
      <c r="H1632" s="2">
        <v>0</v>
      </c>
      <c r="I1632" s="2">
        <v>0</v>
      </c>
      <c r="J1632" s="2">
        <v>0</v>
      </c>
      <c r="K1632" s="2">
        <v>0</v>
      </c>
      <c r="L1632" s="2">
        <v>0</v>
      </c>
      <c r="M1632" s="2">
        <v>50</v>
      </c>
      <c r="N1632" s="2">
        <v>0</v>
      </c>
      <c r="O1632" s="2">
        <v>0</v>
      </c>
      <c r="P1632" s="2">
        <v>0</v>
      </c>
      <c r="Q1632" s="2">
        <v>0</v>
      </c>
      <c r="R1632" s="2">
        <v>0</v>
      </c>
      <c r="S1632" s="2">
        <v>0</v>
      </c>
      <c r="T1632" s="2">
        <v>0</v>
      </c>
      <c r="U1632" s="2">
        <v>0</v>
      </c>
      <c r="W1632" s="2">
        <v>0</v>
      </c>
      <c r="X1632" s="2">
        <v>800.2</v>
      </c>
    </row>
    <row r="1633" spans="1:24" x14ac:dyDescent="0.25">
      <c r="G1633" s="2" t="s">
        <v>2785</v>
      </c>
    </row>
    <row r="1634" spans="1:24" x14ac:dyDescent="0.25">
      <c r="A1634" s="2">
        <v>814</v>
      </c>
      <c r="B1634" s="2">
        <v>6528</v>
      </c>
      <c r="C1634" s="2" t="s">
        <v>2786</v>
      </c>
      <c r="D1634" s="2" t="s">
        <v>89</v>
      </c>
      <c r="E1634" s="2" t="s">
        <v>127</v>
      </c>
      <c r="F1634" s="2" t="s">
        <v>2787</v>
      </c>
      <c r="G1634" s="2">
        <v>750.2</v>
      </c>
      <c r="H1634" s="2">
        <v>0</v>
      </c>
      <c r="I1634" s="2">
        <v>0</v>
      </c>
      <c r="J1634" s="2">
        <v>0</v>
      </c>
      <c r="K1634" s="2">
        <v>0</v>
      </c>
      <c r="L1634" s="2">
        <v>0</v>
      </c>
      <c r="M1634" s="2">
        <v>50</v>
      </c>
      <c r="N1634" s="2">
        <v>0</v>
      </c>
      <c r="O1634" s="2">
        <v>0</v>
      </c>
      <c r="P1634" s="2">
        <v>0</v>
      </c>
      <c r="Q1634" s="2">
        <v>0</v>
      </c>
      <c r="R1634" s="2">
        <v>0</v>
      </c>
      <c r="S1634" s="2">
        <v>0</v>
      </c>
      <c r="T1634" s="2">
        <v>0</v>
      </c>
      <c r="U1634" s="2">
        <v>0</v>
      </c>
      <c r="W1634" s="2">
        <v>0</v>
      </c>
      <c r="X1634" s="2">
        <v>800.2</v>
      </c>
    </row>
    <row r="1635" spans="1:24" x14ac:dyDescent="0.25">
      <c r="G1635" s="2" t="s">
        <v>2788</v>
      </c>
    </row>
    <row r="1636" spans="1:24" x14ac:dyDescent="0.25">
      <c r="A1636" s="2">
        <v>815</v>
      </c>
      <c r="B1636" s="2">
        <v>6552</v>
      </c>
      <c r="C1636" s="2" t="s">
        <v>2789</v>
      </c>
      <c r="D1636" s="2" t="s">
        <v>821</v>
      </c>
      <c r="E1636" s="2" t="s">
        <v>842</v>
      </c>
      <c r="F1636" s="2" t="s">
        <v>2790</v>
      </c>
      <c r="G1636" s="2">
        <v>770</v>
      </c>
      <c r="H1636" s="2">
        <v>0</v>
      </c>
      <c r="I1636" s="2">
        <v>0</v>
      </c>
      <c r="J1636" s="2">
        <v>0</v>
      </c>
      <c r="K1636" s="2">
        <v>0</v>
      </c>
      <c r="L1636" s="2">
        <v>0</v>
      </c>
      <c r="M1636" s="2">
        <v>30</v>
      </c>
      <c r="N1636" s="2">
        <v>0</v>
      </c>
      <c r="O1636" s="2">
        <v>0</v>
      </c>
      <c r="P1636" s="2">
        <v>0</v>
      </c>
      <c r="Q1636" s="2">
        <v>0</v>
      </c>
      <c r="R1636" s="2">
        <v>0</v>
      </c>
      <c r="S1636" s="2">
        <v>0</v>
      </c>
      <c r="T1636" s="2">
        <v>0</v>
      </c>
      <c r="U1636" s="2">
        <v>0</v>
      </c>
      <c r="W1636" s="2">
        <v>0</v>
      </c>
      <c r="X1636" s="2">
        <v>800</v>
      </c>
    </row>
    <row r="1637" spans="1:24" x14ac:dyDescent="0.25">
      <c r="G1637" s="2" t="s">
        <v>2791</v>
      </c>
    </row>
    <row r="1638" spans="1:24" x14ac:dyDescent="0.25">
      <c r="A1638" s="2">
        <v>816</v>
      </c>
      <c r="B1638" s="2">
        <v>1652</v>
      </c>
      <c r="C1638" s="2" t="s">
        <v>2792</v>
      </c>
      <c r="D1638" s="2" t="s">
        <v>2793</v>
      </c>
      <c r="E1638" s="2" t="s">
        <v>73</v>
      </c>
      <c r="F1638" s="2" t="s">
        <v>2794</v>
      </c>
      <c r="G1638" s="2">
        <v>770</v>
      </c>
      <c r="H1638" s="2">
        <v>0</v>
      </c>
      <c r="I1638" s="2">
        <v>0</v>
      </c>
      <c r="J1638" s="2">
        <v>0</v>
      </c>
      <c r="K1638" s="2">
        <v>0</v>
      </c>
      <c r="L1638" s="2">
        <v>0</v>
      </c>
      <c r="M1638" s="2">
        <v>30</v>
      </c>
      <c r="N1638" s="2">
        <v>0</v>
      </c>
      <c r="O1638" s="2">
        <v>0</v>
      </c>
      <c r="P1638" s="2">
        <v>0</v>
      </c>
      <c r="Q1638" s="2">
        <v>0</v>
      </c>
      <c r="R1638" s="2">
        <v>0</v>
      </c>
      <c r="S1638" s="2">
        <v>0</v>
      </c>
      <c r="T1638" s="2">
        <v>0</v>
      </c>
      <c r="U1638" s="2">
        <v>0</v>
      </c>
      <c r="W1638" s="2">
        <v>0</v>
      </c>
      <c r="X1638" s="2">
        <v>800</v>
      </c>
    </row>
    <row r="1639" spans="1:24" x14ac:dyDescent="0.25">
      <c r="G1639" s="2" t="s">
        <v>2795</v>
      </c>
    </row>
    <row r="1640" spans="1:24" x14ac:dyDescent="0.25">
      <c r="A1640" s="2">
        <v>817</v>
      </c>
      <c r="B1640" s="2">
        <v>12381</v>
      </c>
      <c r="C1640" s="2" t="s">
        <v>2796</v>
      </c>
      <c r="D1640" s="2" t="s">
        <v>50</v>
      </c>
      <c r="E1640" s="2" t="s">
        <v>16</v>
      </c>
      <c r="F1640" s="2" t="s">
        <v>2797</v>
      </c>
      <c r="G1640" s="2">
        <v>770</v>
      </c>
      <c r="H1640" s="2">
        <v>0</v>
      </c>
      <c r="I1640" s="2">
        <v>0</v>
      </c>
      <c r="J1640" s="2">
        <v>0</v>
      </c>
      <c r="K1640" s="2">
        <v>0</v>
      </c>
      <c r="L1640" s="2">
        <v>0</v>
      </c>
      <c r="M1640" s="2">
        <v>30</v>
      </c>
      <c r="N1640" s="2">
        <v>0</v>
      </c>
      <c r="O1640" s="2">
        <v>0</v>
      </c>
      <c r="P1640" s="2">
        <v>0</v>
      </c>
      <c r="Q1640" s="2">
        <v>0</v>
      </c>
      <c r="R1640" s="2">
        <v>0</v>
      </c>
      <c r="S1640" s="2">
        <v>0</v>
      </c>
      <c r="T1640" s="2">
        <v>0</v>
      </c>
      <c r="U1640" s="2">
        <v>0</v>
      </c>
      <c r="W1640" s="2">
        <v>0</v>
      </c>
      <c r="X1640" s="2">
        <v>800</v>
      </c>
    </row>
    <row r="1641" spans="1:24" x14ac:dyDescent="0.25">
      <c r="G1641" s="2" t="s">
        <v>2798</v>
      </c>
    </row>
    <row r="1642" spans="1:24" x14ac:dyDescent="0.25">
      <c r="A1642" s="2">
        <v>818</v>
      </c>
      <c r="B1642" s="2">
        <v>15559</v>
      </c>
      <c r="C1642" s="2" t="s">
        <v>2799</v>
      </c>
      <c r="D1642" s="2" t="s">
        <v>1155</v>
      </c>
      <c r="E1642" s="2" t="s">
        <v>342</v>
      </c>
      <c r="F1642" s="2" t="s">
        <v>2800</v>
      </c>
      <c r="G1642" s="2">
        <v>770</v>
      </c>
      <c r="H1642" s="2">
        <v>0</v>
      </c>
      <c r="I1642" s="2">
        <v>0</v>
      </c>
      <c r="J1642" s="2">
        <v>0</v>
      </c>
      <c r="K1642" s="2">
        <v>0</v>
      </c>
      <c r="L1642" s="2">
        <v>0</v>
      </c>
      <c r="M1642" s="2">
        <v>30</v>
      </c>
      <c r="N1642" s="2">
        <v>0</v>
      </c>
      <c r="O1642" s="2">
        <v>0</v>
      </c>
      <c r="P1642" s="2">
        <v>0</v>
      </c>
      <c r="Q1642" s="2">
        <v>0</v>
      </c>
      <c r="R1642" s="2">
        <v>0</v>
      </c>
      <c r="S1642" s="2">
        <v>0</v>
      </c>
      <c r="T1642" s="2">
        <v>0</v>
      </c>
      <c r="U1642" s="2">
        <v>0</v>
      </c>
      <c r="W1642" s="2">
        <v>0</v>
      </c>
      <c r="X1642" s="2">
        <v>800</v>
      </c>
    </row>
    <row r="1643" spans="1:24" x14ac:dyDescent="0.25">
      <c r="G1643" s="2" t="s">
        <v>2801</v>
      </c>
    </row>
    <row r="1644" spans="1:24" x14ac:dyDescent="0.25">
      <c r="A1644" s="2">
        <v>819</v>
      </c>
      <c r="B1644" s="2">
        <v>3133</v>
      </c>
      <c r="C1644" s="2" t="s">
        <v>2802</v>
      </c>
      <c r="D1644" s="2" t="s">
        <v>2803</v>
      </c>
      <c r="E1644" s="2" t="s">
        <v>39</v>
      </c>
      <c r="F1644" s="2" t="s">
        <v>2804</v>
      </c>
      <c r="G1644" s="2">
        <v>770</v>
      </c>
      <c r="H1644" s="2">
        <v>0</v>
      </c>
      <c r="I1644" s="2">
        <v>0</v>
      </c>
      <c r="J1644" s="2">
        <v>0</v>
      </c>
      <c r="K1644" s="2">
        <v>0</v>
      </c>
      <c r="L1644" s="2">
        <v>0</v>
      </c>
      <c r="M1644" s="2">
        <v>30</v>
      </c>
      <c r="N1644" s="2">
        <v>0</v>
      </c>
      <c r="O1644" s="2">
        <v>0</v>
      </c>
      <c r="P1644" s="2">
        <v>0</v>
      </c>
      <c r="Q1644" s="2">
        <v>0</v>
      </c>
      <c r="R1644" s="2">
        <v>0</v>
      </c>
      <c r="S1644" s="2">
        <v>0</v>
      </c>
      <c r="T1644" s="2">
        <v>0</v>
      </c>
      <c r="U1644" s="2">
        <v>0</v>
      </c>
      <c r="W1644" s="2">
        <v>0</v>
      </c>
      <c r="X1644" s="2">
        <v>800</v>
      </c>
    </row>
    <row r="1645" spans="1:24" x14ac:dyDescent="0.25">
      <c r="G1645" s="2" t="s">
        <v>2805</v>
      </c>
    </row>
    <row r="1646" spans="1:24" x14ac:dyDescent="0.25">
      <c r="A1646" s="2">
        <v>820</v>
      </c>
      <c r="B1646" s="2">
        <v>4771</v>
      </c>
      <c r="C1646" s="2" t="s">
        <v>2806</v>
      </c>
      <c r="D1646" s="2" t="s">
        <v>112</v>
      </c>
      <c r="E1646" s="2" t="s">
        <v>148</v>
      </c>
      <c r="F1646" s="2" t="s">
        <v>2807</v>
      </c>
      <c r="G1646" s="2">
        <v>799.7</v>
      </c>
      <c r="H1646" s="2">
        <v>0</v>
      </c>
      <c r="I1646" s="2">
        <v>0</v>
      </c>
      <c r="J1646" s="2">
        <v>0</v>
      </c>
      <c r="K1646" s="2">
        <v>0</v>
      </c>
      <c r="L1646" s="2">
        <v>0</v>
      </c>
      <c r="M1646" s="2">
        <v>0</v>
      </c>
      <c r="N1646" s="2">
        <v>0</v>
      </c>
      <c r="O1646" s="2">
        <v>0</v>
      </c>
      <c r="P1646" s="2">
        <v>0</v>
      </c>
      <c r="Q1646" s="2">
        <v>0</v>
      </c>
      <c r="R1646" s="2">
        <v>0</v>
      </c>
      <c r="S1646" s="2">
        <v>0</v>
      </c>
      <c r="T1646" s="2">
        <v>0</v>
      </c>
      <c r="U1646" s="2">
        <v>0</v>
      </c>
      <c r="W1646" s="2">
        <v>0</v>
      </c>
      <c r="X1646" s="2">
        <v>799.7</v>
      </c>
    </row>
    <row r="1647" spans="1:24" x14ac:dyDescent="0.25">
      <c r="G1647" s="2" t="s">
        <v>2808</v>
      </c>
    </row>
    <row r="1648" spans="1:24" x14ac:dyDescent="0.25">
      <c r="A1648" s="2">
        <v>821</v>
      </c>
      <c r="B1648" s="2">
        <v>12359</v>
      </c>
      <c r="C1648" s="2" t="s">
        <v>2809</v>
      </c>
      <c r="D1648" s="2" t="s">
        <v>314</v>
      </c>
      <c r="E1648" s="2" t="s">
        <v>73</v>
      </c>
      <c r="F1648" s="2" t="s">
        <v>2810</v>
      </c>
      <c r="G1648" s="2">
        <v>799.7</v>
      </c>
      <c r="H1648" s="2">
        <v>0</v>
      </c>
      <c r="I1648" s="2">
        <v>0</v>
      </c>
      <c r="J1648" s="2">
        <v>0</v>
      </c>
      <c r="K1648" s="2">
        <v>0</v>
      </c>
      <c r="L1648" s="2">
        <v>0</v>
      </c>
      <c r="M1648" s="2">
        <v>0</v>
      </c>
      <c r="N1648" s="2">
        <v>0</v>
      </c>
      <c r="O1648" s="2">
        <v>0</v>
      </c>
      <c r="P1648" s="2">
        <v>0</v>
      </c>
      <c r="Q1648" s="2">
        <v>0</v>
      </c>
      <c r="R1648" s="2">
        <v>0</v>
      </c>
      <c r="S1648" s="2">
        <v>0</v>
      </c>
      <c r="T1648" s="2">
        <v>0</v>
      </c>
      <c r="U1648" s="2">
        <v>0</v>
      </c>
      <c r="W1648" s="2">
        <v>0</v>
      </c>
      <c r="X1648" s="2">
        <v>799.7</v>
      </c>
    </row>
    <row r="1649" spans="1:24" x14ac:dyDescent="0.25">
      <c r="G1649" s="2" t="s">
        <v>2811</v>
      </c>
    </row>
    <row r="1650" spans="1:24" x14ac:dyDescent="0.25">
      <c r="A1650" s="2">
        <v>822</v>
      </c>
      <c r="B1650" s="2">
        <v>15269</v>
      </c>
      <c r="C1650" s="2" t="s">
        <v>2812</v>
      </c>
      <c r="D1650" s="2" t="s">
        <v>365</v>
      </c>
      <c r="E1650" s="2" t="s">
        <v>194</v>
      </c>
      <c r="F1650" s="2" t="s">
        <v>2813</v>
      </c>
      <c r="G1650" s="2">
        <v>799.7</v>
      </c>
      <c r="H1650" s="2">
        <v>0</v>
      </c>
      <c r="I1650" s="2">
        <v>0</v>
      </c>
      <c r="J1650" s="2">
        <v>0</v>
      </c>
      <c r="K1650" s="2">
        <v>0</v>
      </c>
      <c r="L1650" s="2">
        <v>0</v>
      </c>
      <c r="M1650" s="2">
        <v>0</v>
      </c>
      <c r="N1650" s="2">
        <v>0</v>
      </c>
      <c r="O1650" s="2">
        <v>0</v>
      </c>
      <c r="P1650" s="2">
        <v>0</v>
      </c>
      <c r="Q1650" s="2">
        <v>0</v>
      </c>
      <c r="R1650" s="2">
        <v>0</v>
      </c>
      <c r="S1650" s="2">
        <v>0</v>
      </c>
      <c r="T1650" s="2">
        <v>0</v>
      </c>
      <c r="U1650" s="2">
        <v>0</v>
      </c>
      <c r="W1650" s="2">
        <v>0</v>
      </c>
      <c r="X1650" s="2">
        <v>799.7</v>
      </c>
    </row>
    <row r="1651" spans="1:24" x14ac:dyDescent="0.25">
      <c r="G1651" s="2" t="s">
        <v>2814</v>
      </c>
    </row>
    <row r="1652" spans="1:24" x14ac:dyDescent="0.25">
      <c r="A1652" s="2">
        <v>823</v>
      </c>
      <c r="B1652" s="2">
        <v>8906</v>
      </c>
      <c r="C1652" s="2" t="s">
        <v>2815</v>
      </c>
      <c r="D1652" s="2" t="s">
        <v>112</v>
      </c>
      <c r="E1652" s="2" t="s">
        <v>84</v>
      </c>
      <c r="F1652" s="2" t="s">
        <v>2816</v>
      </c>
      <c r="G1652" s="2">
        <v>768.9</v>
      </c>
      <c r="H1652" s="2">
        <v>0</v>
      </c>
      <c r="I1652" s="2">
        <v>0</v>
      </c>
      <c r="J1652" s="2">
        <v>0</v>
      </c>
      <c r="K1652" s="2">
        <v>0</v>
      </c>
      <c r="L1652" s="2">
        <v>0</v>
      </c>
      <c r="M1652" s="2">
        <v>30</v>
      </c>
      <c r="N1652" s="2">
        <v>0</v>
      </c>
      <c r="O1652" s="2">
        <v>0</v>
      </c>
      <c r="P1652" s="2">
        <v>0</v>
      </c>
      <c r="Q1652" s="2">
        <v>0</v>
      </c>
      <c r="R1652" s="2">
        <v>0</v>
      </c>
      <c r="S1652" s="2">
        <v>0</v>
      </c>
      <c r="T1652" s="2">
        <v>0</v>
      </c>
      <c r="U1652" s="2">
        <v>0</v>
      </c>
      <c r="W1652" s="2">
        <v>0</v>
      </c>
      <c r="X1652" s="2">
        <v>798.9</v>
      </c>
    </row>
    <row r="1653" spans="1:24" x14ac:dyDescent="0.25">
      <c r="G1653" s="2" t="s">
        <v>2817</v>
      </c>
    </row>
    <row r="1654" spans="1:24" x14ac:dyDescent="0.25">
      <c r="A1654" s="2">
        <v>824</v>
      </c>
      <c r="B1654" s="2">
        <v>8330</v>
      </c>
      <c r="C1654" s="2" t="s">
        <v>2818</v>
      </c>
      <c r="D1654" s="2" t="s">
        <v>373</v>
      </c>
      <c r="E1654" s="2" t="s">
        <v>346</v>
      </c>
      <c r="F1654" s="2" t="s">
        <v>2819</v>
      </c>
      <c r="G1654" s="2">
        <v>768.9</v>
      </c>
      <c r="H1654" s="2">
        <v>0</v>
      </c>
      <c r="I1654" s="2">
        <v>0</v>
      </c>
      <c r="J1654" s="2">
        <v>0</v>
      </c>
      <c r="K1654" s="2">
        <v>0</v>
      </c>
      <c r="L1654" s="2">
        <v>0</v>
      </c>
      <c r="M1654" s="2">
        <v>30</v>
      </c>
      <c r="N1654" s="2">
        <v>0</v>
      </c>
      <c r="O1654" s="2">
        <v>0</v>
      </c>
      <c r="P1654" s="2">
        <v>0</v>
      </c>
      <c r="Q1654" s="2">
        <v>0</v>
      </c>
      <c r="R1654" s="2">
        <v>0</v>
      </c>
      <c r="S1654" s="2">
        <v>0</v>
      </c>
      <c r="T1654" s="2">
        <v>0</v>
      </c>
      <c r="U1654" s="2">
        <v>0</v>
      </c>
      <c r="W1654" s="2">
        <v>0</v>
      </c>
      <c r="X1654" s="2">
        <v>798.9</v>
      </c>
    </row>
    <row r="1655" spans="1:24" x14ac:dyDescent="0.25">
      <c r="G1655" s="2" t="s">
        <v>2820</v>
      </c>
    </row>
    <row r="1656" spans="1:24" x14ac:dyDescent="0.25">
      <c r="A1656" s="2">
        <v>825</v>
      </c>
      <c r="B1656" s="2">
        <v>12449</v>
      </c>
      <c r="C1656" s="2" t="s">
        <v>2821</v>
      </c>
      <c r="D1656" s="2" t="s">
        <v>208</v>
      </c>
      <c r="E1656" s="2" t="s">
        <v>39</v>
      </c>
      <c r="F1656" s="2" t="s">
        <v>2822</v>
      </c>
      <c r="G1656" s="2">
        <v>768.9</v>
      </c>
      <c r="H1656" s="2">
        <v>0</v>
      </c>
      <c r="I1656" s="2">
        <v>0</v>
      </c>
      <c r="J1656" s="2">
        <v>0</v>
      </c>
      <c r="K1656" s="2">
        <v>0</v>
      </c>
      <c r="L1656" s="2">
        <v>0</v>
      </c>
      <c r="M1656" s="2">
        <v>30</v>
      </c>
      <c r="N1656" s="2">
        <v>0</v>
      </c>
      <c r="O1656" s="2">
        <v>0</v>
      </c>
      <c r="P1656" s="2">
        <v>0</v>
      </c>
      <c r="Q1656" s="2">
        <v>0</v>
      </c>
      <c r="R1656" s="2">
        <v>0</v>
      </c>
      <c r="S1656" s="2">
        <v>0</v>
      </c>
      <c r="T1656" s="2">
        <v>0</v>
      </c>
      <c r="U1656" s="2">
        <v>0</v>
      </c>
      <c r="W1656" s="2">
        <v>0</v>
      </c>
      <c r="X1656" s="2">
        <v>798.9</v>
      </c>
    </row>
    <row r="1657" spans="1:24" x14ac:dyDescent="0.25">
      <c r="G1657" s="2" t="s">
        <v>2823</v>
      </c>
    </row>
    <row r="1658" spans="1:24" x14ac:dyDescent="0.25">
      <c r="A1658" s="2">
        <v>826</v>
      </c>
      <c r="B1658" s="2">
        <v>11437</v>
      </c>
      <c r="C1658" s="2" t="s">
        <v>2824</v>
      </c>
      <c r="D1658" s="2" t="s">
        <v>56</v>
      </c>
      <c r="E1658" s="2" t="s">
        <v>45</v>
      </c>
      <c r="F1658" s="2" t="s">
        <v>2825</v>
      </c>
      <c r="G1658" s="2">
        <v>768.9</v>
      </c>
      <c r="H1658" s="2">
        <v>0</v>
      </c>
      <c r="I1658" s="2">
        <v>0</v>
      </c>
      <c r="J1658" s="2">
        <v>0</v>
      </c>
      <c r="K1658" s="2">
        <v>0</v>
      </c>
      <c r="L1658" s="2">
        <v>0</v>
      </c>
      <c r="M1658" s="2">
        <v>30</v>
      </c>
      <c r="N1658" s="2">
        <v>0</v>
      </c>
      <c r="O1658" s="2">
        <v>0</v>
      </c>
      <c r="P1658" s="2">
        <v>0</v>
      </c>
      <c r="Q1658" s="2">
        <v>0</v>
      </c>
      <c r="R1658" s="2">
        <v>0</v>
      </c>
      <c r="S1658" s="2">
        <v>0</v>
      </c>
      <c r="T1658" s="2">
        <v>0</v>
      </c>
      <c r="U1658" s="2">
        <v>0</v>
      </c>
      <c r="W1658" s="2">
        <v>0</v>
      </c>
      <c r="X1658" s="2">
        <v>798.9</v>
      </c>
    </row>
    <row r="1659" spans="1:24" x14ac:dyDescent="0.25">
      <c r="G1659" s="2" t="s">
        <v>2826</v>
      </c>
    </row>
    <row r="1660" spans="1:24" x14ac:dyDescent="0.25">
      <c r="A1660" s="2">
        <v>827</v>
      </c>
      <c r="B1660" s="2">
        <v>4282</v>
      </c>
      <c r="C1660" s="2" t="s">
        <v>2827</v>
      </c>
      <c r="D1660" s="2" t="s">
        <v>248</v>
      </c>
      <c r="E1660" s="2" t="s">
        <v>90</v>
      </c>
      <c r="F1660" s="2" t="s">
        <v>2828</v>
      </c>
      <c r="G1660" s="2">
        <v>798.6</v>
      </c>
      <c r="H1660" s="2">
        <v>0</v>
      </c>
      <c r="I1660" s="2">
        <v>0</v>
      </c>
      <c r="J1660" s="2">
        <v>0</v>
      </c>
      <c r="K1660" s="2">
        <v>0</v>
      </c>
      <c r="L1660" s="2">
        <v>0</v>
      </c>
      <c r="M1660" s="2">
        <v>0</v>
      </c>
      <c r="N1660" s="2">
        <v>0</v>
      </c>
      <c r="O1660" s="2">
        <v>0</v>
      </c>
      <c r="P1660" s="2">
        <v>0</v>
      </c>
      <c r="Q1660" s="2">
        <v>0</v>
      </c>
      <c r="R1660" s="2">
        <v>0</v>
      </c>
      <c r="S1660" s="2">
        <v>0</v>
      </c>
      <c r="T1660" s="2">
        <v>0</v>
      </c>
      <c r="U1660" s="2">
        <v>0</v>
      </c>
      <c r="W1660" s="2">
        <v>0</v>
      </c>
      <c r="X1660" s="2">
        <v>798.6</v>
      </c>
    </row>
    <row r="1661" spans="1:24" x14ac:dyDescent="0.25">
      <c r="G1661" s="2" t="s">
        <v>2829</v>
      </c>
    </row>
    <row r="1662" spans="1:24" x14ac:dyDescent="0.25">
      <c r="A1662" s="2">
        <v>828</v>
      </c>
      <c r="B1662" s="2">
        <v>14534</v>
      </c>
      <c r="C1662" s="2" t="s">
        <v>2830</v>
      </c>
      <c r="D1662" s="2" t="s">
        <v>2674</v>
      </c>
      <c r="E1662" s="2" t="s">
        <v>127</v>
      </c>
      <c r="F1662" s="2" t="s">
        <v>2831</v>
      </c>
      <c r="G1662" s="2">
        <v>798.6</v>
      </c>
      <c r="H1662" s="2">
        <v>0</v>
      </c>
      <c r="I1662" s="2">
        <v>0</v>
      </c>
      <c r="J1662" s="2">
        <v>0</v>
      </c>
      <c r="K1662" s="2">
        <v>0</v>
      </c>
      <c r="L1662" s="2">
        <v>0</v>
      </c>
      <c r="M1662" s="2">
        <v>0</v>
      </c>
      <c r="N1662" s="2">
        <v>0</v>
      </c>
      <c r="O1662" s="2">
        <v>0</v>
      </c>
      <c r="P1662" s="2">
        <v>0</v>
      </c>
      <c r="Q1662" s="2">
        <v>0</v>
      </c>
      <c r="R1662" s="2">
        <v>0</v>
      </c>
      <c r="S1662" s="2">
        <v>0</v>
      </c>
      <c r="T1662" s="2">
        <v>0</v>
      </c>
      <c r="U1662" s="2">
        <v>0</v>
      </c>
      <c r="W1662" s="2">
        <v>0</v>
      </c>
      <c r="X1662" s="2">
        <v>798.6</v>
      </c>
    </row>
    <row r="1663" spans="1:24" x14ac:dyDescent="0.25">
      <c r="G1663" s="2" t="s">
        <v>2832</v>
      </c>
    </row>
    <row r="1664" spans="1:24" x14ac:dyDescent="0.25">
      <c r="A1664" s="2">
        <v>829</v>
      </c>
      <c r="B1664" s="2">
        <v>10488</v>
      </c>
      <c r="C1664" s="2" t="s">
        <v>2833</v>
      </c>
      <c r="D1664" s="2" t="s">
        <v>1255</v>
      </c>
      <c r="E1664" s="2" t="s">
        <v>73</v>
      </c>
      <c r="F1664" s="2" t="s">
        <v>2834</v>
      </c>
      <c r="G1664" s="2">
        <v>728.2</v>
      </c>
      <c r="H1664" s="2">
        <v>0</v>
      </c>
      <c r="I1664" s="2">
        <v>0</v>
      </c>
      <c r="J1664" s="2">
        <v>0</v>
      </c>
      <c r="K1664" s="2">
        <v>0</v>
      </c>
      <c r="L1664" s="2">
        <v>0</v>
      </c>
      <c r="M1664" s="2">
        <v>70</v>
      </c>
      <c r="N1664" s="2">
        <v>0</v>
      </c>
      <c r="O1664" s="2">
        <v>0</v>
      </c>
      <c r="P1664" s="2">
        <v>0</v>
      </c>
      <c r="Q1664" s="2">
        <v>0</v>
      </c>
      <c r="R1664" s="2">
        <v>0</v>
      </c>
      <c r="S1664" s="2">
        <v>0</v>
      </c>
      <c r="T1664" s="2">
        <v>0</v>
      </c>
      <c r="U1664" s="2">
        <v>0</v>
      </c>
      <c r="W1664" s="2">
        <v>0</v>
      </c>
      <c r="X1664" s="2">
        <v>798.2</v>
      </c>
    </row>
    <row r="1665" spans="1:24" x14ac:dyDescent="0.25">
      <c r="G1665" s="2" t="s">
        <v>2835</v>
      </c>
    </row>
    <row r="1666" spans="1:24" x14ac:dyDescent="0.25">
      <c r="A1666" s="2">
        <v>830</v>
      </c>
      <c r="B1666" s="2">
        <v>12452</v>
      </c>
      <c r="C1666" s="2" t="s">
        <v>2836</v>
      </c>
      <c r="D1666" s="2" t="s">
        <v>90</v>
      </c>
      <c r="E1666" s="2" t="s">
        <v>39</v>
      </c>
      <c r="F1666" s="2" t="s">
        <v>2837</v>
      </c>
      <c r="G1666" s="2">
        <v>728.2</v>
      </c>
      <c r="H1666" s="2">
        <v>0</v>
      </c>
      <c r="I1666" s="2">
        <v>0</v>
      </c>
      <c r="J1666" s="2">
        <v>0</v>
      </c>
      <c r="K1666" s="2">
        <v>0</v>
      </c>
      <c r="L1666" s="2">
        <v>0</v>
      </c>
      <c r="M1666" s="2">
        <v>70</v>
      </c>
      <c r="N1666" s="2">
        <v>0</v>
      </c>
      <c r="O1666" s="2">
        <v>0</v>
      </c>
      <c r="P1666" s="2">
        <v>0</v>
      </c>
      <c r="Q1666" s="2">
        <v>0</v>
      </c>
      <c r="R1666" s="2">
        <v>0</v>
      </c>
      <c r="S1666" s="2">
        <v>0</v>
      </c>
      <c r="T1666" s="2">
        <v>0</v>
      </c>
      <c r="U1666" s="2">
        <v>0</v>
      </c>
      <c r="W1666" s="2">
        <v>0</v>
      </c>
      <c r="X1666" s="2">
        <v>798.2</v>
      </c>
    </row>
    <row r="1667" spans="1:24" x14ac:dyDescent="0.25">
      <c r="G1667" s="2" t="s">
        <v>2838</v>
      </c>
    </row>
    <row r="1668" spans="1:24" x14ac:dyDescent="0.25">
      <c r="A1668" s="2">
        <v>831</v>
      </c>
      <c r="B1668" s="2">
        <v>14664</v>
      </c>
      <c r="C1668" s="2" t="s">
        <v>2839</v>
      </c>
      <c r="D1668" s="2" t="s">
        <v>112</v>
      </c>
      <c r="E1668" s="2" t="s">
        <v>51</v>
      </c>
      <c r="F1668" s="2" t="s">
        <v>2840</v>
      </c>
      <c r="G1668" s="2">
        <v>767.8</v>
      </c>
      <c r="H1668" s="2">
        <v>0</v>
      </c>
      <c r="I1668" s="2">
        <v>0</v>
      </c>
      <c r="J1668" s="2">
        <v>0</v>
      </c>
      <c r="K1668" s="2">
        <v>0</v>
      </c>
      <c r="L1668" s="2">
        <v>0</v>
      </c>
      <c r="M1668" s="2">
        <v>30</v>
      </c>
      <c r="N1668" s="2">
        <v>0</v>
      </c>
      <c r="O1668" s="2">
        <v>0</v>
      </c>
      <c r="P1668" s="2">
        <v>0</v>
      </c>
      <c r="Q1668" s="2">
        <v>0</v>
      </c>
      <c r="R1668" s="2">
        <v>0</v>
      </c>
      <c r="S1668" s="2">
        <v>0</v>
      </c>
      <c r="T1668" s="2">
        <v>0</v>
      </c>
      <c r="U1668" s="2">
        <v>0</v>
      </c>
      <c r="W1668" s="2">
        <v>0</v>
      </c>
      <c r="X1668" s="2">
        <v>797.8</v>
      </c>
    </row>
    <row r="1669" spans="1:24" x14ac:dyDescent="0.25">
      <c r="G1669" s="2" t="s">
        <v>2841</v>
      </c>
    </row>
    <row r="1670" spans="1:24" x14ac:dyDescent="0.25">
      <c r="A1670" s="2">
        <v>832</v>
      </c>
      <c r="B1670" s="2">
        <v>16208</v>
      </c>
      <c r="C1670" s="2" t="s">
        <v>2342</v>
      </c>
      <c r="D1670" s="2" t="s">
        <v>2842</v>
      </c>
      <c r="E1670" s="2" t="s">
        <v>354</v>
      </c>
      <c r="F1670" s="2" t="s">
        <v>2843</v>
      </c>
      <c r="G1670" s="2">
        <v>767.8</v>
      </c>
      <c r="H1670" s="2">
        <v>0</v>
      </c>
      <c r="I1670" s="2">
        <v>0</v>
      </c>
      <c r="J1670" s="2">
        <v>0</v>
      </c>
      <c r="K1670" s="2">
        <v>0</v>
      </c>
      <c r="L1670" s="2">
        <v>0</v>
      </c>
      <c r="M1670" s="2">
        <v>30</v>
      </c>
      <c r="N1670" s="2">
        <v>0</v>
      </c>
      <c r="O1670" s="2">
        <v>0</v>
      </c>
      <c r="P1670" s="2">
        <v>0</v>
      </c>
      <c r="Q1670" s="2">
        <v>0</v>
      </c>
      <c r="R1670" s="2">
        <v>0</v>
      </c>
      <c r="S1670" s="2">
        <v>0</v>
      </c>
      <c r="T1670" s="2">
        <v>0</v>
      </c>
      <c r="U1670" s="2">
        <v>0</v>
      </c>
      <c r="W1670" s="2">
        <v>0</v>
      </c>
      <c r="X1670" s="2">
        <v>797.8</v>
      </c>
    </row>
    <row r="1671" spans="1:24" x14ac:dyDescent="0.25">
      <c r="G1671" s="2" t="s">
        <v>2844</v>
      </c>
    </row>
    <row r="1672" spans="1:24" x14ac:dyDescent="0.25">
      <c r="A1672" s="2">
        <v>833</v>
      </c>
      <c r="B1672" s="2">
        <v>12327</v>
      </c>
      <c r="C1672" s="2" t="s">
        <v>2845</v>
      </c>
      <c r="D1672" s="2" t="s">
        <v>133</v>
      </c>
      <c r="E1672" s="2" t="s">
        <v>73</v>
      </c>
      <c r="F1672" s="2" t="s">
        <v>2846</v>
      </c>
      <c r="G1672" s="2">
        <v>767.8</v>
      </c>
      <c r="H1672" s="2">
        <v>0</v>
      </c>
      <c r="I1672" s="2">
        <v>0</v>
      </c>
      <c r="J1672" s="2">
        <v>0</v>
      </c>
      <c r="K1672" s="2">
        <v>0</v>
      </c>
      <c r="L1672" s="2">
        <v>0</v>
      </c>
      <c r="M1672" s="2">
        <v>30</v>
      </c>
      <c r="N1672" s="2">
        <v>0</v>
      </c>
      <c r="O1672" s="2">
        <v>0</v>
      </c>
      <c r="P1672" s="2">
        <v>0</v>
      </c>
      <c r="Q1672" s="2">
        <v>0</v>
      </c>
      <c r="R1672" s="2">
        <v>0</v>
      </c>
      <c r="S1672" s="2">
        <v>0</v>
      </c>
      <c r="T1672" s="2">
        <v>0</v>
      </c>
      <c r="U1672" s="2">
        <v>0</v>
      </c>
      <c r="W1672" s="2">
        <v>0</v>
      </c>
      <c r="X1672" s="2">
        <v>797.8</v>
      </c>
    </row>
    <row r="1673" spans="1:24" x14ac:dyDescent="0.25">
      <c r="G1673" s="2" t="s">
        <v>2847</v>
      </c>
    </row>
    <row r="1674" spans="1:24" x14ac:dyDescent="0.25">
      <c r="A1674" s="2">
        <v>834</v>
      </c>
      <c r="B1674" s="2">
        <v>11376</v>
      </c>
      <c r="C1674" s="2" t="s">
        <v>2848</v>
      </c>
      <c r="D1674" s="2" t="s">
        <v>2849</v>
      </c>
      <c r="E1674" s="2" t="s">
        <v>1440</v>
      </c>
      <c r="F1674" s="2" t="s">
        <v>2850</v>
      </c>
      <c r="G1674" s="2">
        <v>797.5</v>
      </c>
      <c r="H1674" s="2">
        <v>0</v>
      </c>
      <c r="I1674" s="2">
        <v>0</v>
      </c>
      <c r="J1674" s="2">
        <v>0</v>
      </c>
      <c r="K1674" s="2">
        <v>0</v>
      </c>
      <c r="L1674" s="2">
        <v>0</v>
      </c>
      <c r="M1674" s="2">
        <v>0</v>
      </c>
      <c r="N1674" s="2">
        <v>0</v>
      </c>
      <c r="O1674" s="2">
        <v>0</v>
      </c>
      <c r="P1674" s="2">
        <v>0</v>
      </c>
      <c r="Q1674" s="2">
        <v>0</v>
      </c>
      <c r="R1674" s="2">
        <v>0</v>
      </c>
      <c r="S1674" s="2">
        <v>0</v>
      </c>
      <c r="T1674" s="2">
        <v>0</v>
      </c>
      <c r="U1674" s="2">
        <v>0</v>
      </c>
      <c r="W1674" s="2">
        <v>0</v>
      </c>
      <c r="X1674" s="2">
        <v>797.5</v>
      </c>
    </row>
    <row r="1675" spans="1:24" x14ac:dyDescent="0.25">
      <c r="G1675" s="2" t="s">
        <v>2851</v>
      </c>
    </row>
    <row r="1676" spans="1:24" x14ac:dyDescent="0.25">
      <c r="A1676" s="2">
        <v>835</v>
      </c>
      <c r="B1676" s="2">
        <v>4393</v>
      </c>
      <c r="C1676" s="2" t="s">
        <v>2852</v>
      </c>
      <c r="D1676" s="2" t="s">
        <v>107</v>
      </c>
      <c r="E1676" s="2" t="s">
        <v>16</v>
      </c>
      <c r="F1676" s="2" t="s">
        <v>2853</v>
      </c>
      <c r="G1676" s="2">
        <v>797.5</v>
      </c>
      <c r="H1676" s="2">
        <v>0</v>
      </c>
      <c r="I1676" s="2">
        <v>0</v>
      </c>
      <c r="J1676" s="2">
        <v>0</v>
      </c>
      <c r="K1676" s="2">
        <v>0</v>
      </c>
      <c r="L1676" s="2">
        <v>0</v>
      </c>
      <c r="M1676" s="2">
        <v>0</v>
      </c>
      <c r="N1676" s="2">
        <v>0</v>
      </c>
      <c r="O1676" s="2">
        <v>0</v>
      </c>
      <c r="P1676" s="2">
        <v>0</v>
      </c>
      <c r="Q1676" s="2">
        <v>0</v>
      </c>
      <c r="R1676" s="2">
        <v>0</v>
      </c>
      <c r="S1676" s="2">
        <v>0</v>
      </c>
      <c r="T1676" s="2">
        <v>0</v>
      </c>
      <c r="U1676" s="2">
        <v>0</v>
      </c>
      <c r="W1676" s="2">
        <v>0</v>
      </c>
      <c r="X1676" s="2">
        <v>797.5</v>
      </c>
    </row>
    <row r="1677" spans="1:24" x14ac:dyDescent="0.25">
      <c r="G1677" s="2" t="s">
        <v>2854</v>
      </c>
    </row>
    <row r="1678" spans="1:24" x14ac:dyDescent="0.25">
      <c r="A1678" s="2">
        <v>836</v>
      </c>
      <c r="B1678" s="2">
        <v>10478</v>
      </c>
      <c r="C1678" s="2" t="s">
        <v>2855</v>
      </c>
      <c r="D1678" s="2" t="s">
        <v>138</v>
      </c>
      <c r="E1678" s="2" t="s">
        <v>127</v>
      </c>
      <c r="F1678" s="2" t="s">
        <v>2856</v>
      </c>
      <c r="G1678" s="2">
        <v>766.7</v>
      </c>
      <c r="H1678" s="2">
        <v>0</v>
      </c>
      <c r="I1678" s="2">
        <v>0</v>
      </c>
      <c r="J1678" s="2">
        <v>0</v>
      </c>
      <c r="K1678" s="2">
        <v>0</v>
      </c>
      <c r="L1678" s="2">
        <v>0</v>
      </c>
      <c r="M1678" s="2">
        <v>30</v>
      </c>
      <c r="N1678" s="2">
        <v>0</v>
      </c>
      <c r="O1678" s="2">
        <v>0</v>
      </c>
      <c r="P1678" s="2">
        <v>0</v>
      </c>
      <c r="Q1678" s="2">
        <v>0</v>
      </c>
      <c r="R1678" s="2">
        <v>0</v>
      </c>
      <c r="S1678" s="2">
        <v>0</v>
      </c>
      <c r="T1678" s="2">
        <v>0</v>
      </c>
      <c r="U1678" s="2">
        <v>0</v>
      </c>
      <c r="W1678" s="2">
        <v>0</v>
      </c>
      <c r="X1678" s="2">
        <v>796.7</v>
      </c>
    </row>
    <row r="1679" spans="1:24" x14ac:dyDescent="0.25">
      <c r="G1679" s="2" t="s">
        <v>2857</v>
      </c>
    </row>
    <row r="1680" spans="1:24" x14ac:dyDescent="0.25">
      <c r="A1680" s="2">
        <v>837</v>
      </c>
      <c r="B1680" s="2">
        <v>11655</v>
      </c>
      <c r="C1680" s="2" t="s">
        <v>2858</v>
      </c>
      <c r="D1680" s="2" t="s">
        <v>2859</v>
      </c>
      <c r="E1680" s="2" t="s">
        <v>138</v>
      </c>
      <c r="F1680" s="2" t="s">
        <v>2860</v>
      </c>
      <c r="G1680" s="2">
        <v>766.7</v>
      </c>
      <c r="H1680" s="2">
        <v>0</v>
      </c>
      <c r="I1680" s="2">
        <v>0</v>
      </c>
      <c r="J1680" s="2">
        <v>0</v>
      </c>
      <c r="K1680" s="2">
        <v>0</v>
      </c>
      <c r="L1680" s="2">
        <v>0</v>
      </c>
      <c r="M1680" s="2">
        <v>30</v>
      </c>
      <c r="N1680" s="2">
        <v>0</v>
      </c>
      <c r="O1680" s="2">
        <v>0</v>
      </c>
      <c r="P1680" s="2">
        <v>0</v>
      </c>
      <c r="Q1680" s="2">
        <v>0</v>
      </c>
      <c r="R1680" s="2">
        <v>0</v>
      </c>
      <c r="S1680" s="2">
        <v>0</v>
      </c>
      <c r="T1680" s="2">
        <v>0</v>
      </c>
      <c r="U1680" s="2">
        <v>0</v>
      </c>
      <c r="W1680" s="2">
        <v>0</v>
      </c>
      <c r="X1680" s="2">
        <v>796.7</v>
      </c>
    </row>
    <row r="1681" spans="1:24" x14ac:dyDescent="0.25">
      <c r="G1681" s="2" t="s">
        <v>2861</v>
      </c>
    </row>
    <row r="1682" spans="1:24" x14ac:dyDescent="0.25">
      <c r="A1682" s="2">
        <v>838</v>
      </c>
      <c r="B1682" s="2">
        <v>13299</v>
      </c>
      <c r="C1682" s="2" t="s">
        <v>2862</v>
      </c>
      <c r="D1682" s="2" t="s">
        <v>16</v>
      </c>
      <c r="E1682" s="2" t="s">
        <v>199</v>
      </c>
      <c r="F1682" s="2">
        <v>283578</v>
      </c>
      <c r="G1682" s="2">
        <v>766.7</v>
      </c>
      <c r="H1682" s="2">
        <v>0</v>
      </c>
      <c r="I1682" s="2">
        <v>0</v>
      </c>
      <c r="J1682" s="2">
        <v>0</v>
      </c>
      <c r="K1682" s="2">
        <v>0</v>
      </c>
      <c r="L1682" s="2">
        <v>0</v>
      </c>
      <c r="M1682" s="2">
        <v>30</v>
      </c>
      <c r="N1682" s="2">
        <v>0</v>
      </c>
      <c r="O1682" s="2">
        <v>0</v>
      </c>
      <c r="P1682" s="2">
        <v>0</v>
      </c>
      <c r="Q1682" s="2">
        <v>0</v>
      </c>
      <c r="R1682" s="2">
        <v>0</v>
      </c>
      <c r="S1682" s="2">
        <v>0</v>
      </c>
      <c r="T1682" s="2">
        <v>0</v>
      </c>
      <c r="U1682" s="2">
        <v>0</v>
      </c>
      <c r="W1682" s="2">
        <v>0</v>
      </c>
      <c r="X1682" s="2">
        <v>796.7</v>
      </c>
    </row>
    <row r="1683" spans="1:24" x14ac:dyDescent="0.25">
      <c r="G1683" s="2" t="s">
        <v>2863</v>
      </c>
    </row>
    <row r="1684" spans="1:24" x14ac:dyDescent="0.25">
      <c r="A1684" s="2">
        <v>839</v>
      </c>
      <c r="B1684" s="2">
        <v>16046</v>
      </c>
      <c r="C1684" s="2" t="s">
        <v>2864</v>
      </c>
      <c r="D1684" s="2" t="s">
        <v>415</v>
      </c>
      <c r="E1684" s="2" t="s">
        <v>73</v>
      </c>
      <c r="F1684" s="2" t="s">
        <v>2865</v>
      </c>
      <c r="G1684" s="2">
        <v>766.7</v>
      </c>
      <c r="H1684" s="2">
        <v>0</v>
      </c>
      <c r="I1684" s="2">
        <v>0</v>
      </c>
      <c r="J1684" s="2">
        <v>0</v>
      </c>
      <c r="K1684" s="2">
        <v>0</v>
      </c>
      <c r="L1684" s="2">
        <v>0</v>
      </c>
      <c r="M1684" s="2">
        <v>30</v>
      </c>
      <c r="N1684" s="2">
        <v>0</v>
      </c>
      <c r="O1684" s="2">
        <v>0</v>
      </c>
      <c r="P1684" s="2">
        <v>0</v>
      </c>
      <c r="Q1684" s="2">
        <v>0</v>
      </c>
      <c r="R1684" s="2">
        <v>0</v>
      </c>
      <c r="S1684" s="2">
        <v>0</v>
      </c>
      <c r="T1684" s="2">
        <v>0</v>
      </c>
      <c r="U1684" s="2">
        <v>0</v>
      </c>
      <c r="W1684" s="2">
        <v>0</v>
      </c>
      <c r="X1684" s="2">
        <v>796.7</v>
      </c>
    </row>
    <row r="1685" spans="1:24" x14ac:dyDescent="0.25">
      <c r="G1685" s="2" t="s">
        <v>2866</v>
      </c>
    </row>
    <row r="1686" spans="1:24" x14ac:dyDescent="0.25">
      <c r="A1686" s="2">
        <v>840</v>
      </c>
      <c r="B1686" s="2">
        <v>14557</v>
      </c>
      <c r="C1686" s="2" t="s">
        <v>2867</v>
      </c>
      <c r="D1686" s="2" t="s">
        <v>2868</v>
      </c>
      <c r="E1686" s="2" t="s">
        <v>73</v>
      </c>
      <c r="F1686" s="2" t="s">
        <v>2869</v>
      </c>
      <c r="G1686" s="2">
        <v>796.4</v>
      </c>
      <c r="H1686" s="2">
        <v>0</v>
      </c>
      <c r="I1686" s="2">
        <v>0</v>
      </c>
      <c r="J1686" s="2">
        <v>0</v>
      </c>
      <c r="K1686" s="2">
        <v>0</v>
      </c>
      <c r="L1686" s="2">
        <v>0</v>
      </c>
      <c r="M1686" s="2">
        <v>0</v>
      </c>
      <c r="N1686" s="2">
        <v>0</v>
      </c>
      <c r="O1686" s="2">
        <v>0</v>
      </c>
      <c r="P1686" s="2">
        <v>0</v>
      </c>
      <c r="Q1686" s="2">
        <v>0</v>
      </c>
      <c r="R1686" s="2">
        <v>0</v>
      </c>
      <c r="S1686" s="2">
        <v>0</v>
      </c>
      <c r="T1686" s="2">
        <v>0</v>
      </c>
      <c r="U1686" s="2">
        <v>0</v>
      </c>
      <c r="W1686" s="2">
        <v>0</v>
      </c>
      <c r="X1686" s="2">
        <v>796.4</v>
      </c>
    </row>
    <row r="1687" spans="1:24" x14ac:dyDescent="0.25">
      <c r="G1687" s="2" t="s">
        <v>2870</v>
      </c>
    </row>
    <row r="1688" spans="1:24" x14ac:dyDescent="0.25">
      <c r="A1688" s="2">
        <v>841</v>
      </c>
      <c r="B1688" s="2">
        <v>16571</v>
      </c>
      <c r="C1688" s="2" t="s">
        <v>2871</v>
      </c>
      <c r="D1688" s="2" t="s">
        <v>50</v>
      </c>
      <c r="E1688" s="2" t="s">
        <v>194</v>
      </c>
      <c r="F1688" s="2" t="s">
        <v>2872</v>
      </c>
      <c r="G1688" s="2">
        <v>735.9</v>
      </c>
      <c r="H1688" s="2">
        <v>0</v>
      </c>
      <c r="I1688" s="2">
        <v>0</v>
      </c>
      <c r="J1688" s="2">
        <v>0</v>
      </c>
      <c r="K1688" s="2">
        <v>0</v>
      </c>
      <c r="L1688" s="2">
        <v>0</v>
      </c>
      <c r="M1688" s="2">
        <v>30</v>
      </c>
      <c r="N1688" s="2">
        <v>0</v>
      </c>
      <c r="O1688" s="2">
        <v>0</v>
      </c>
      <c r="P1688" s="2">
        <v>0</v>
      </c>
      <c r="Q1688" s="2">
        <v>30</v>
      </c>
      <c r="R1688" s="2">
        <v>0</v>
      </c>
      <c r="S1688" s="2">
        <v>0</v>
      </c>
      <c r="T1688" s="2">
        <v>0</v>
      </c>
      <c r="U1688" s="2">
        <v>0</v>
      </c>
      <c r="W1688" s="2">
        <v>0</v>
      </c>
      <c r="X1688" s="2">
        <v>795.9</v>
      </c>
    </row>
    <row r="1689" spans="1:24" x14ac:dyDescent="0.25">
      <c r="G1689" s="2" t="s">
        <v>2873</v>
      </c>
    </row>
    <row r="1690" spans="1:24" x14ac:dyDescent="0.25">
      <c r="A1690" s="2">
        <v>842</v>
      </c>
      <c r="B1690" s="2">
        <v>15581</v>
      </c>
      <c r="C1690" s="2" t="s">
        <v>2874</v>
      </c>
      <c r="D1690" s="2" t="s">
        <v>730</v>
      </c>
      <c r="E1690" s="2" t="s">
        <v>199</v>
      </c>
      <c r="F1690" s="2" t="s">
        <v>2875</v>
      </c>
      <c r="G1690" s="2">
        <v>765.6</v>
      </c>
      <c r="H1690" s="2">
        <v>0</v>
      </c>
      <c r="I1690" s="2">
        <v>0</v>
      </c>
      <c r="J1690" s="2">
        <v>0</v>
      </c>
      <c r="K1690" s="2">
        <v>0</v>
      </c>
      <c r="L1690" s="2">
        <v>0</v>
      </c>
      <c r="M1690" s="2">
        <v>30</v>
      </c>
      <c r="N1690" s="2">
        <v>0</v>
      </c>
      <c r="O1690" s="2">
        <v>0</v>
      </c>
      <c r="P1690" s="2">
        <v>0</v>
      </c>
      <c r="Q1690" s="2">
        <v>0</v>
      </c>
      <c r="R1690" s="2">
        <v>0</v>
      </c>
      <c r="S1690" s="2">
        <v>0</v>
      </c>
      <c r="T1690" s="2">
        <v>0</v>
      </c>
      <c r="U1690" s="2">
        <v>0</v>
      </c>
      <c r="W1690" s="2">
        <v>0</v>
      </c>
      <c r="X1690" s="2">
        <v>795.6</v>
      </c>
    </row>
    <row r="1691" spans="1:24" x14ac:dyDescent="0.25">
      <c r="G1691" s="2" t="s">
        <v>2876</v>
      </c>
    </row>
    <row r="1692" spans="1:24" x14ac:dyDescent="0.25">
      <c r="A1692" s="2">
        <v>843</v>
      </c>
      <c r="B1692" s="2">
        <v>4090</v>
      </c>
      <c r="C1692" s="2" t="s">
        <v>2877</v>
      </c>
      <c r="D1692" s="2" t="s">
        <v>39</v>
      </c>
      <c r="E1692" s="2" t="s">
        <v>90</v>
      </c>
      <c r="F1692" s="2" t="s">
        <v>2878</v>
      </c>
      <c r="G1692" s="2">
        <v>765.6</v>
      </c>
      <c r="H1692" s="2">
        <v>0</v>
      </c>
      <c r="I1692" s="2">
        <v>0</v>
      </c>
      <c r="J1692" s="2">
        <v>0</v>
      </c>
      <c r="K1692" s="2">
        <v>0</v>
      </c>
      <c r="L1692" s="2">
        <v>0</v>
      </c>
      <c r="M1692" s="2">
        <v>30</v>
      </c>
      <c r="N1692" s="2">
        <v>0</v>
      </c>
      <c r="O1692" s="2">
        <v>0</v>
      </c>
      <c r="P1692" s="2">
        <v>0</v>
      </c>
      <c r="Q1692" s="2">
        <v>0</v>
      </c>
      <c r="R1692" s="2">
        <v>0</v>
      </c>
      <c r="S1692" s="2">
        <v>0</v>
      </c>
      <c r="T1692" s="2">
        <v>0</v>
      </c>
      <c r="U1692" s="2">
        <v>0</v>
      </c>
      <c r="W1692" s="2">
        <v>2</v>
      </c>
      <c r="X1692" s="2">
        <v>795.6</v>
      </c>
    </row>
    <row r="1693" spans="1:24" x14ac:dyDescent="0.25">
      <c r="G1693" s="2" t="s">
        <v>2879</v>
      </c>
    </row>
    <row r="1694" spans="1:24" x14ac:dyDescent="0.25">
      <c r="A1694" s="2">
        <v>844</v>
      </c>
      <c r="B1694" s="2">
        <v>13954</v>
      </c>
      <c r="C1694" s="2" t="s">
        <v>2880</v>
      </c>
      <c r="D1694" s="2" t="s">
        <v>235</v>
      </c>
      <c r="E1694" s="2" t="s">
        <v>16</v>
      </c>
      <c r="F1694" s="2" t="s">
        <v>2881</v>
      </c>
      <c r="G1694" s="2">
        <v>795.3</v>
      </c>
      <c r="H1694" s="2">
        <v>0</v>
      </c>
      <c r="I1694" s="2">
        <v>0</v>
      </c>
      <c r="J1694" s="2">
        <v>0</v>
      </c>
      <c r="K1694" s="2">
        <v>0</v>
      </c>
      <c r="L1694" s="2">
        <v>0</v>
      </c>
      <c r="M1694" s="2">
        <v>0</v>
      </c>
      <c r="N1694" s="2">
        <v>0</v>
      </c>
      <c r="O1694" s="2">
        <v>0</v>
      </c>
      <c r="P1694" s="2">
        <v>0</v>
      </c>
      <c r="Q1694" s="2">
        <v>0</v>
      </c>
      <c r="R1694" s="2">
        <v>0</v>
      </c>
      <c r="S1694" s="2">
        <v>0</v>
      </c>
      <c r="T1694" s="2">
        <v>0</v>
      </c>
      <c r="U1694" s="2">
        <v>0</v>
      </c>
      <c r="W1694" s="2">
        <v>0</v>
      </c>
      <c r="X1694" s="2">
        <v>795.3</v>
      </c>
    </row>
    <row r="1695" spans="1:24" x14ac:dyDescent="0.25">
      <c r="G1695" s="2" t="s">
        <v>2882</v>
      </c>
    </row>
    <row r="1696" spans="1:24" x14ac:dyDescent="0.25">
      <c r="A1696" s="2">
        <v>845</v>
      </c>
      <c r="B1696" s="2">
        <v>3613</v>
      </c>
      <c r="C1696" s="2" t="s">
        <v>2883</v>
      </c>
      <c r="D1696" s="2" t="s">
        <v>1132</v>
      </c>
      <c r="E1696" s="2" t="s">
        <v>39</v>
      </c>
      <c r="F1696" s="2" t="s">
        <v>2884</v>
      </c>
      <c r="G1696" s="2">
        <v>795.3</v>
      </c>
      <c r="H1696" s="2">
        <v>0</v>
      </c>
      <c r="I1696" s="2">
        <v>0</v>
      </c>
      <c r="J1696" s="2">
        <v>0</v>
      </c>
      <c r="K1696" s="2">
        <v>0</v>
      </c>
      <c r="L1696" s="2">
        <v>0</v>
      </c>
      <c r="M1696" s="2">
        <v>0</v>
      </c>
      <c r="N1696" s="2">
        <v>0</v>
      </c>
      <c r="O1696" s="2">
        <v>0</v>
      </c>
      <c r="P1696" s="2">
        <v>0</v>
      </c>
      <c r="Q1696" s="2">
        <v>0</v>
      </c>
      <c r="R1696" s="2">
        <v>0</v>
      </c>
      <c r="S1696" s="2">
        <v>0</v>
      </c>
      <c r="T1696" s="2">
        <v>0</v>
      </c>
      <c r="U1696" s="2">
        <v>0</v>
      </c>
      <c r="W1696" s="2">
        <v>0</v>
      </c>
      <c r="X1696" s="2">
        <v>795.3</v>
      </c>
    </row>
    <row r="1697" spans="1:24" x14ac:dyDescent="0.25">
      <c r="G1697" s="2" t="s">
        <v>2885</v>
      </c>
    </row>
    <row r="1698" spans="1:24" x14ac:dyDescent="0.25">
      <c r="A1698" s="2">
        <v>846</v>
      </c>
      <c r="B1698" s="2">
        <v>9068</v>
      </c>
      <c r="C1698" s="2" t="s">
        <v>2886</v>
      </c>
      <c r="D1698" s="2" t="s">
        <v>902</v>
      </c>
      <c r="E1698" s="2" t="s">
        <v>73</v>
      </c>
      <c r="F1698" s="2" t="s">
        <v>2887</v>
      </c>
      <c r="G1698" s="2">
        <v>795.3</v>
      </c>
      <c r="H1698" s="2">
        <v>0</v>
      </c>
      <c r="I1698" s="2">
        <v>0</v>
      </c>
      <c r="J1698" s="2">
        <v>0</v>
      </c>
      <c r="K1698" s="2">
        <v>0</v>
      </c>
      <c r="L1698" s="2">
        <v>0</v>
      </c>
      <c r="M1698" s="2">
        <v>0</v>
      </c>
      <c r="N1698" s="2">
        <v>0</v>
      </c>
      <c r="O1698" s="2">
        <v>0</v>
      </c>
      <c r="P1698" s="2">
        <v>0</v>
      </c>
      <c r="Q1698" s="2">
        <v>0</v>
      </c>
      <c r="R1698" s="2">
        <v>0</v>
      </c>
      <c r="S1698" s="2">
        <v>0</v>
      </c>
      <c r="T1698" s="2">
        <v>0</v>
      </c>
      <c r="U1698" s="2">
        <v>0</v>
      </c>
      <c r="W1698" s="2">
        <v>0</v>
      </c>
      <c r="X1698" s="2">
        <v>795.3</v>
      </c>
    </row>
    <row r="1699" spans="1:24" x14ac:dyDescent="0.25">
      <c r="G1699" s="2" t="s">
        <v>2888</v>
      </c>
    </row>
    <row r="1700" spans="1:24" x14ac:dyDescent="0.25">
      <c r="A1700" s="2">
        <v>847</v>
      </c>
      <c r="B1700" s="2">
        <v>13761</v>
      </c>
      <c r="C1700" s="2" t="s">
        <v>2889</v>
      </c>
      <c r="D1700" s="2" t="s">
        <v>112</v>
      </c>
      <c r="E1700" s="2" t="s">
        <v>298</v>
      </c>
      <c r="F1700" s="2" t="s">
        <v>2890</v>
      </c>
      <c r="G1700" s="2">
        <v>724.9</v>
      </c>
      <c r="H1700" s="2">
        <v>0</v>
      </c>
      <c r="I1700" s="2">
        <v>0</v>
      </c>
      <c r="J1700" s="2">
        <v>0</v>
      </c>
      <c r="K1700" s="2">
        <v>0</v>
      </c>
      <c r="L1700" s="2">
        <v>0</v>
      </c>
      <c r="M1700" s="2">
        <v>70</v>
      </c>
      <c r="N1700" s="2">
        <v>0</v>
      </c>
      <c r="O1700" s="2">
        <v>0</v>
      </c>
      <c r="P1700" s="2">
        <v>0</v>
      </c>
      <c r="Q1700" s="2">
        <v>0</v>
      </c>
      <c r="R1700" s="2">
        <v>0</v>
      </c>
      <c r="S1700" s="2">
        <v>0</v>
      </c>
      <c r="T1700" s="2">
        <v>0</v>
      </c>
      <c r="U1700" s="2">
        <v>0</v>
      </c>
      <c r="W1700" s="2">
        <v>0</v>
      </c>
      <c r="X1700" s="2">
        <v>794.9</v>
      </c>
    </row>
    <row r="1701" spans="1:24" x14ac:dyDescent="0.25">
      <c r="G1701" s="2" t="s">
        <v>2891</v>
      </c>
    </row>
    <row r="1702" spans="1:24" x14ac:dyDescent="0.25">
      <c r="A1702" s="2">
        <v>848</v>
      </c>
      <c r="B1702" s="2">
        <v>14468</v>
      </c>
      <c r="C1702" s="2" t="s">
        <v>2658</v>
      </c>
      <c r="D1702" s="2" t="s">
        <v>2892</v>
      </c>
      <c r="E1702" s="2" t="s">
        <v>138</v>
      </c>
      <c r="F1702" s="2" t="s">
        <v>2893</v>
      </c>
      <c r="G1702" s="2">
        <v>764.5</v>
      </c>
      <c r="H1702" s="2">
        <v>0</v>
      </c>
      <c r="I1702" s="2">
        <v>0</v>
      </c>
      <c r="J1702" s="2">
        <v>0</v>
      </c>
      <c r="K1702" s="2">
        <v>0</v>
      </c>
      <c r="L1702" s="2">
        <v>0</v>
      </c>
      <c r="M1702" s="2">
        <v>30</v>
      </c>
      <c r="N1702" s="2">
        <v>0</v>
      </c>
      <c r="O1702" s="2">
        <v>0</v>
      </c>
      <c r="P1702" s="2">
        <v>0</v>
      </c>
      <c r="Q1702" s="2">
        <v>0</v>
      </c>
      <c r="R1702" s="2">
        <v>0</v>
      </c>
      <c r="S1702" s="2">
        <v>0</v>
      </c>
      <c r="T1702" s="2">
        <v>0</v>
      </c>
      <c r="U1702" s="2">
        <v>0</v>
      </c>
      <c r="W1702" s="2">
        <v>0</v>
      </c>
      <c r="X1702" s="2">
        <v>794.5</v>
      </c>
    </row>
    <row r="1703" spans="1:24" x14ac:dyDescent="0.25">
      <c r="G1703" s="2" t="s">
        <v>2894</v>
      </c>
    </row>
    <row r="1704" spans="1:24" x14ac:dyDescent="0.25">
      <c r="A1704" s="2">
        <v>849</v>
      </c>
      <c r="B1704" s="2">
        <v>9544</v>
      </c>
      <c r="C1704" s="2" t="s">
        <v>2895</v>
      </c>
      <c r="D1704" s="2" t="s">
        <v>2896</v>
      </c>
      <c r="E1704" s="2" t="s">
        <v>39</v>
      </c>
      <c r="F1704" s="2" t="s">
        <v>2897</v>
      </c>
      <c r="G1704" s="2">
        <v>764.5</v>
      </c>
      <c r="H1704" s="2">
        <v>0</v>
      </c>
      <c r="I1704" s="2">
        <v>0</v>
      </c>
      <c r="J1704" s="2">
        <v>0</v>
      </c>
      <c r="K1704" s="2">
        <v>0</v>
      </c>
      <c r="L1704" s="2">
        <v>0</v>
      </c>
      <c r="M1704" s="2">
        <v>30</v>
      </c>
      <c r="N1704" s="2">
        <v>0</v>
      </c>
      <c r="O1704" s="2">
        <v>0</v>
      </c>
      <c r="P1704" s="2">
        <v>0</v>
      </c>
      <c r="Q1704" s="2">
        <v>0</v>
      </c>
      <c r="R1704" s="2">
        <v>0</v>
      </c>
      <c r="S1704" s="2">
        <v>0</v>
      </c>
      <c r="T1704" s="2">
        <v>0</v>
      </c>
      <c r="U1704" s="2">
        <v>0</v>
      </c>
      <c r="W1704" s="2">
        <v>0</v>
      </c>
      <c r="X1704" s="2">
        <v>794.5</v>
      </c>
    </row>
    <row r="1705" spans="1:24" x14ac:dyDescent="0.25">
      <c r="G1705" s="2" t="s">
        <v>2898</v>
      </c>
    </row>
    <row r="1706" spans="1:24" x14ac:dyDescent="0.25">
      <c r="A1706" s="2">
        <v>850</v>
      </c>
      <c r="B1706" s="2">
        <v>15632</v>
      </c>
      <c r="C1706" s="2" t="s">
        <v>2899</v>
      </c>
      <c r="D1706" s="2" t="s">
        <v>170</v>
      </c>
      <c r="E1706" s="2" t="s">
        <v>2568</v>
      </c>
      <c r="F1706" s="2" t="s">
        <v>2900</v>
      </c>
      <c r="G1706" s="2">
        <v>764.5</v>
      </c>
      <c r="H1706" s="2">
        <v>0</v>
      </c>
      <c r="I1706" s="2">
        <v>0</v>
      </c>
      <c r="J1706" s="2">
        <v>0</v>
      </c>
      <c r="K1706" s="2">
        <v>0</v>
      </c>
      <c r="L1706" s="2">
        <v>0</v>
      </c>
      <c r="M1706" s="2">
        <v>30</v>
      </c>
      <c r="N1706" s="2">
        <v>0</v>
      </c>
      <c r="O1706" s="2">
        <v>0</v>
      </c>
      <c r="P1706" s="2">
        <v>0</v>
      </c>
      <c r="Q1706" s="2">
        <v>0</v>
      </c>
      <c r="R1706" s="2">
        <v>0</v>
      </c>
      <c r="S1706" s="2">
        <v>0</v>
      </c>
      <c r="T1706" s="2">
        <v>0</v>
      </c>
      <c r="U1706" s="2">
        <v>0</v>
      </c>
      <c r="W1706" s="2">
        <v>0</v>
      </c>
      <c r="X1706" s="2">
        <v>794.5</v>
      </c>
    </row>
    <row r="1707" spans="1:24" x14ac:dyDescent="0.25">
      <c r="G1707" s="2" t="s">
        <v>2901</v>
      </c>
    </row>
    <row r="1708" spans="1:24" x14ac:dyDescent="0.25">
      <c r="A1708" s="2">
        <v>851</v>
      </c>
      <c r="B1708" s="2">
        <v>9777</v>
      </c>
      <c r="C1708" s="2" t="s">
        <v>2902</v>
      </c>
      <c r="D1708" s="2" t="s">
        <v>164</v>
      </c>
      <c r="E1708" s="2" t="s">
        <v>84</v>
      </c>
      <c r="F1708" s="2" t="s">
        <v>2903</v>
      </c>
      <c r="G1708" s="2">
        <v>794.2</v>
      </c>
      <c r="H1708" s="2">
        <v>0</v>
      </c>
      <c r="I1708" s="2">
        <v>0</v>
      </c>
      <c r="J1708" s="2">
        <v>0</v>
      </c>
      <c r="K1708" s="2">
        <v>0</v>
      </c>
      <c r="L1708" s="2">
        <v>0</v>
      </c>
      <c r="M1708" s="2">
        <v>0</v>
      </c>
      <c r="N1708" s="2">
        <v>0</v>
      </c>
      <c r="O1708" s="2">
        <v>0</v>
      </c>
      <c r="P1708" s="2">
        <v>0</v>
      </c>
      <c r="Q1708" s="2">
        <v>0</v>
      </c>
      <c r="R1708" s="2">
        <v>0</v>
      </c>
      <c r="S1708" s="2">
        <v>0</v>
      </c>
      <c r="T1708" s="2">
        <v>0</v>
      </c>
      <c r="U1708" s="2">
        <v>0</v>
      </c>
      <c r="W1708" s="2">
        <v>0</v>
      </c>
      <c r="X1708" s="2">
        <v>794.2</v>
      </c>
    </row>
    <row r="1709" spans="1:24" x14ac:dyDescent="0.25">
      <c r="G1709" s="2" t="s">
        <v>2904</v>
      </c>
    </row>
    <row r="1710" spans="1:24" x14ac:dyDescent="0.25">
      <c r="A1710" s="2">
        <v>852</v>
      </c>
      <c r="B1710" s="2">
        <v>15954</v>
      </c>
      <c r="C1710" s="2" t="s">
        <v>2905</v>
      </c>
      <c r="D1710" s="2" t="s">
        <v>235</v>
      </c>
      <c r="E1710" s="2" t="s">
        <v>51</v>
      </c>
      <c r="F1710" s="2" t="s">
        <v>2906</v>
      </c>
      <c r="G1710" s="2">
        <v>794.2</v>
      </c>
      <c r="H1710" s="2">
        <v>0</v>
      </c>
      <c r="I1710" s="2">
        <v>0</v>
      </c>
      <c r="J1710" s="2">
        <v>0</v>
      </c>
      <c r="K1710" s="2">
        <v>0</v>
      </c>
      <c r="L1710" s="2">
        <v>0</v>
      </c>
      <c r="M1710" s="2">
        <v>0</v>
      </c>
      <c r="N1710" s="2">
        <v>0</v>
      </c>
      <c r="O1710" s="2">
        <v>0</v>
      </c>
      <c r="P1710" s="2">
        <v>0</v>
      </c>
      <c r="Q1710" s="2">
        <v>0</v>
      </c>
      <c r="R1710" s="2">
        <v>0</v>
      </c>
      <c r="S1710" s="2">
        <v>0</v>
      </c>
      <c r="T1710" s="2">
        <v>0</v>
      </c>
      <c r="U1710" s="2">
        <v>0</v>
      </c>
      <c r="W1710" s="2">
        <v>0</v>
      </c>
      <c r="X1710" s="2">
        <v>794.2</v>
      </c>
    </row>
    <row r="1711" spans="1:24" x14ac:dyDescent="0.25">
      <c r="G1711" s="2" t="s">
        <v>2907</v>
      </c>
    </row>
    <row r="1712" spans="1:24" x14ac:dyDescent="0.25">
      <c r="A1712" s="2">
        <v>853</v>
      </c>
      <c r="B1712" s="2">
        <v>11797</v>
      </c>
      <c r="C1712" s="2" t="s">
        <v>2908</v>
      </c>
      <c r="D1712" s="2" t="s">
        <v>284</v>
      </c>
      <c r="E1712" s="2" t="s">
        <v>73</v>
      </c>
      <c r="F1712" s="2" t="s">
        <v>2909</v>
      </c>
      <c r="G1712" s="2">
        <v>794.2</v>
      </c>
      <c r="H1712" s="2">
        <v>0</v>
      </c>
      <c r="I1712" s="2">
        <v>0</v>
      </c>
      <c r="J1712" s="2">
        <v>0</v>
      </c>
      <c r="K1712" s="2">
        <v>0</v>
      </c>
      <c r="L1712" s="2">
        <v>0</v>
      </c>
      <c r="M1712" s="2">
        <v>0</v>
      </c>
      <c r="N1712" s="2">
        <v>0</v>
      </c>
      <c r="O1712" s="2">
        <v>0</v>
      </c>
      <c r="P1712" s="2">
        <v>0</v>
      </c>
      <c r="Q1712" s="2">
        <v>0</v>
      </c>
      <c r="R1712" s="2">
        <v>0</v>
      </c>
      <c r="S1712" s="2">
        <v>0</v>
      </c>
      <c r="T1712" s="2">
        <v>0</v>
      </c>
      <c r="U1712" s="2">
        <v>0</v>
      </c>
      <c r="W1712" s="2">
        <v>1</v>
      </c>
      <c r="X1712" s="2">
        <v>794.2</v>
      </c>
    </row>
    <row r="1713" spans="1:24" x14ac:dyDescent="0.25">
      <c r="G1713" s="2" t="s">
        <v>2910</v>
      </c>
    </row>
    <row r="1714" spans="1:24" x14ac:dyDescent="0.25">
      <c r="A1714" s="2">
        <v>854</v>
      </c>
      <c r="B1714" s="2">
        <v>16047</v>
      </c>
      <c r="C1714" s="2" t="s">
        <v>2911</v>
      </c>
      <c r="D1714" s="2" t="s">
        <v>953</v>
      </c>
      <c r="E1714" s="2" t="s">
        <v>597</v>
      </c>
      <c r="F1714" s="2" t="s">
        <v>2912</v>
      </c>
      <c r="G1714" s="2">
        <v>743.6</v>
      </c>
      <c r="H1714" s="2">
        <v>0</v>
      </c>
      <c r="I1714" s="2">
        <v>0</v>
      </c>
      <c r="J1714" s="2">
        <v>0</v>
      </c>
      <c r="K1714" s="2">
        <v>0</v>
      </c>
      <c r="L1714" s="2">
        <v>0</v>
      </c>
      <c r="M1714" s="2">
        <v>50</v>
      </c>
      <c r="N1714" s="2">
        <v>0</v>
      </c>
      <c r="O1714" s="2">
        <v>0</v>
      </c>
      <c r="P1714" s="2">
        <v>0</v>
      </c>
      <c r="Q1714" s="2">
        <v>0</v>
      </c>
      <c r="R1714" s="2">
        <v>0</v>
      </c>
      <c r="S1714" s="2">
        <v>0</v>
      </c>
      <c r="T1714" s="2">
        <v>0</v>
      </c>
      <c r="U1714" s="2">
        <v>0</v>
      </c>
      <c r="W1714" s="2">
        <v>0</v>
      </c>
      <c r="X1714" s="2">
        <v>793.6</v>
      </c>
    </row>
    <row r="1715" spans="1:24" x14ac:dyDescent="0.25">
      <c r="G1715" s="2" t="s">
        <v>2913</v>
      </c>
    </row>
    <row r="1716" spans="1:24" x14ac:dyDescent="0.25">
      <c r="A1716" s="2">
        <v>855</v>
      </c>
      <c r="B1716" s="2">
        <v>13713</v>
      </c>
      <c r="C1716" s="2" t="s">
        <v>2914</v>
      </c>
      <c r="D1716" s="2" t="s">
        <v>2915</v>
      </c>
      <c r="E1716" s="2" t="s">
        <v>138</v>
      </c>
      <c r="F1716" s="2" t="s">
        <v>2916</v>
      </c>
      <c r="G1716" s="2">
        <v>763.4</v>
      </c>
      <c r="H1716" s="2">
        <v>0</v>
      </c>
      <c r="I1716" s="2">
        <v>0</v>
      </c>
      <c r="J1716" s="2">
        <v>0</v>
      </c>
      <c r="K1716" s="2">
        <v>0</v>
      </c>
      <c r="L1716" s="2">
        <v>0</v>
      </c>
      <c r="M1716" s="2">
        <v>30</v>
      </c>
      <c r="N1716" s="2">
        <v>0</v>
      </c>
      <c r="O1716" s="2">
        <v>0</v>
      </c>
      <c r="P1716" s="2">
        <v>0</v>
      </c>
      <c r="Q1716" s="2">
        <v>0</v>
      </c>
      <c r="R1716" s="2">
        <v>0</v>
      </c>
      <c r="S1716" s="2">
        <v>0</v>
      </c>
      <c r="T1716" s="2">
        <v>0</v>
      </c>
      <c r="U1716" s="2">
        <v>0</v>
      </c>
      <c r="W1716" s="2">
        <v>0</v>
      </c>
      <c r="X1716" s="2">
        <v>793.4</v>
      </c>
    </row>
    <row r="1717" spans="1:24" x14ac:dyDescent="0.25">
      <c r="G1717" s="2" t="s">
        <v>2917</v>
      </c>
    </row>
    <row r="1718" spans="1:24" x14ac:dyDescent="0.25">
      <c r="A1718" s="2">
        <v>856</v>
      </c>
      <c r="B1718" s="2">
        <v>2463</v>
      </c>
      <c r="C1718" s="2" t="s">
        <v>2918</v>
      </c>
      <c r="D1718" s="2" t="s">
        <v>2919</v>
      </c>
      <c r="E1718" s="2" t="s">
        <v>2920</v>
      </c>
      <c r="F1718" s="2" t="s">
        <v>2921</v>
      </c>
      <c r="G1718" s="2">
        <v>763.4</v>
      </c>
      <c r="H1718" s="2">
        <v>0</v>
      </c>
      <c r="I1718" s="2">
        <v>0</v>
      </c>
      <c r="J1718" s="2">
        <v>0</v>
      </c>
      <c r="K1718" s="2">
        <v>0</v>
      </c>
      <c r="L1718" s="2">
        <v>0</v>
      </c>
      <c r="M1718" s="2">
        <v>30</v>
      </c>
      <c r="N1718" s="2">
        <v>0</v>
      </c>
      <c r="O1718" s="2">
        <v>0</v>
      </c>
      <c r="P1718" s="2">
        <v>0</v>
      </c>
      <c r="Q1718" s="2">
        <v>0</v>
      </c>
      <c r="R1718" s="2">
        <v>0</v>
      </c>
      <c r="S1718" s="2">
        <v>0</v>
      </c>
      <c r="T1718" s="2">
        <v>0</v>
      </c>
      <c r="U1718" s="2">
        <v>0</v>
      </c>
      <c r="W1718" s="2">
        <v>0</v>
      </c>
      <c r="X1718" s="2">
        <v>793.4</v>
      </c>
    </row>
    <row r="1719" spans="1:24" x14ac:dyDescent="0.25">
      <c r="G1719" s="2" t="s">
        <v>2922</v>
      </c>
    </row>
    <row r="1720" spans="1:24" x14ac:dyDescent="0.25">
      <c r="A1720" s="2">
        <v>857</v>
      </c>
      <c r="B1720" s="2">
        <v>11818</v>
      </c>
      <c r="C1720" s="2" t="s">
        <v>2923</v>
      </c>
      <c r="D1720" s="2" t="s">
        <v>2614</v>
      </c>
      <c r="E1720" s="2" t="s">
        <v>73</v>
      </c>
      <c r="F1720" s="2" t="s">
        <v>2924</v>
      </c>
      <c r="G1720" s="2">
        <v>762.3</v>
      </c>
      <c r="H1720" s="2">
        <v>0</v>
      </c>
      <c r="I1720" s="2">
        <v>0</v>
      </c>
      <c r="J1720" s="2">
        <v>0</v>
      </c>
      <c r="K1720" s="2">
        <v>0</v>
      </c>
      <c r="L1720" s="2">
        <v>0</v>
      </c>
      <c r="M1720" s="2">
        <v>30</v>
      </c>
      <c r="N1720" s="2">
        <v>0</v>
      </c>
      <c r="O1720" s="2">
        <v>0</v>
      </c>
      <c r="P1720" s="2">
        <v>0</v>
      </c>
      <c r="Q1720" s="2">
        <v>0</v>
      </c>
      <c r="R1720" s="2">
        <v>0</v>
      </c>
      <c r="S1720" s="2">
        <v>0</v>
      </c>
      <c r="T1720" s="2">
        <v>0</v>
      </c>
      <c r="U1720" s="2">
        <v>0</v>
      </c>
      <c r="W1720" s="2">
        <v>0</v>
      </c>
      <c r="X1720" s="2">
        <v>792.3</v>
      </c>
    </row>
    <row r="1721" spans="1:24" x14ac:dyDescent="0.25">
      <c r="G1721" s="2" t="s">
        <v>2925</v>
      </c>
    </row>
    <row r="1722" spans="1:24" x14ac:dyDescent="0.25">
      <c r="A1722" s="2">
        <v>858</v>
      </c>
      <c r="B1722" s="2">
        <v>8172</v>
      </c>
      <c r="C1722" s="2" t="s">
        <v>2926</v>
      </c>
      <c r="D1722" s="2" t="s">
        <v>373</v>
      </c>
      <c r="E1722" s="2" t="s">
        <v>51</v>
      </c>
      <c r="F1722" s="2" t="s">
        <v>2927</v>
      </c>
      <c r="G1722" s="2">
        <v>792</v>
      </c>
      <c r="H1722" s="2">
        <v>0</v>
      </c>
      <c r="I1722" s="2">
        <v>0</v>
      </c>
      <c r="J1722" s="2">
        <v>0</v>
      </c>
      <c r="K1722" s="2">
        <v>0</v>
      </c>
      <c r="L1722" s="2">
        <v>0</v>
      </c>
      <c r="M1722" s="2">
        <v>0</v>
      </c>
      <c r="N1722" s="2">
        <v>0</v>
      </c>
      <c r="O1722" s="2">
        <v>0</v>
      </c>
      <c r="P1722" s="2">
        <v>0</v>
      </c>
      <c r="Q1722" s="2">
        <v>0</v>
      </c>
      <c r="R1722" s="2">
        <v>0</v>
      </c>
      <c r="S1722" s="2">
        <v>0</v>
      </c>
      <c r="T1722" s="2">
        <v>0</v>
      </c>
      <c r="U1722" s="2">
        <v>0</v>
      </c>
      <c r="W1722" s="2">
        <v>0</v>
      </c>
      <c r="X1722" s="2">
        <v>792</v>
      </c>
    </row>
    <row r="1723" spans="1:24" x14ac:dyDescent="0.25">
      <c r="G1723" s="2" t="s">
        <v>2928</v>
      </c>
    </row>
    <row r="1724" spans="1:24" x14ac:dyDescent="0.25">
      <c r="A1724" s="2">
        <v>859</v>
      </c>
      <c r="B1724" s="2">
        <v>10277</v>
      </c>
      <c r="C1724" s="2" t="s">
        <v>2929</v>
      </c>
      <c r="D1724" s="2" t="s">
        <v>902</v>
      </c>
      <c r="E1724" s="2" t="s">
        <v>551</v>
      </c>
      <c r="F1724" s="2" t="s">
        <v>2930</v>
      </c>
      <c r="G1724" s="2">
        <v>792</v>
      </c>
      <c r="H1724" s="2">
        <v>0</v>
      </c>
      <c r="I1724" s="2">
        <v>0</v>
      </c>
      <c r="J1724" s="2">
        <v>0</v>
      </c>
      <c r="K1724" s="2">
        <v>0</v>
      </c>
      <c r="L1724" s="2">
        <v>0</v>
      </c>
      <c r="M1724" s="2">
        <v>0</v>
      </c>
      <c r="N1724" s="2">
        <v>0</v>
      </c>
      <c r="O1724" s="2">
        <v>0</v>
      </c>
      <c r="P1724" s="2">
        <v>0</v>
      </c>
      <c r="Q1724" s="2">
        <v>0</v>
      </c>
      <c r="R1724" s="2">
        <v>0</v>
      </c>
      <c r="S1724" s="2">
        <v>0</v>
      </c>
      <c r="T1724" s="2">
        <v>0</v>
      </c>
      <c r="U1724" s="2">
        <v>0</v>
      </c>
      <c r="W1724" s="2">
        <v>0</v>
      </c>
      <c r="X1724" s="2">
        <v>792</v>
      </c>
    </row>
    <row r="1725" spans="1:24" x14ac:dyDescent="0.25">
      <c r="G1725" s="2" t="s">
        <v>2931</v>
      </c>
    </row>
    <row r="1726" spans="1:24" x14ac:dyDescent="0.25">
      <c r="A1726" s="2">
        <v>860</v>
      </c>
      <c r="B1726" s="2">
        <v>10271</v>
      </c>
      <c r="C1726" s="2" t="s">
        <v>2932</v>
      </c>
      <c r="D1726" s="2" t="s">
        <v>103</v>
      </c>
      <c r="E1726" s="2" t="s">
        <v>51</v>
      </c>
      <c r="F1726" s="2" t="s">
        <v>2933</v>
      </c>
      <c r="G1726" s="2">
        <v>721.6</v>
      </c>
      <c r="H1726" s="2">
        <v>0</v>
      </c>
      <c r="I1726" s="2">
        <v>0</v>
      </c>
      <c r="J1726" s="2">
        <v>0</v>
      </c>
      <c r="K1726" s="2">
        <v>0</v>
      </c>
      <c r="L1726" s="2">
        <v>0</v>
      </c>
      <c r="M1726" s="2">
        <v>70</v>
      </c>
      <c r="N1726" s="2">
        <v>0</v>
      </c>
      <c r="O1726" s="2">
        <v>0</v>
      </c>
      <c r="P1726" s="2">
        <v>0</v>
      </c>
      <c r="Q1726" s="2">
        <v>0</v>
      </c>
      <c r="R1726" s="2">
        <v>0</v>
      </c>
      <c r="S1726" s="2">
        <v>0</v>
      </c>
      <c r="T1726" s="2">
        <v>0</v>
      </c>
      <c r="U1726" s="2">
        <v>0</v>
      </c>
      <c r="W1726" s="2">
        <v>2</v>
      </c>
      <c r="X1726" s="2">
        <v>791.6</v>
      </c>
    </row>
    <row r="1727" spans="1:24" x14ac:dyDescent="0.25">
      <c r="G1727" s="2" t="s">
        <v>2934</v>
      </c>
    </row>
    <row r="1728" spans="1:24" x14ac:dyDescent="0.25">
      <c r="A1728" s="2">
        <v>861</v>
      </c>
      <c r="B1728" s="2">
        <v>9350</v>
      </c>
      <c r="C1728" s="2" t="s">
        <v>2935</v>
      </c>
      <c r="D1728" s="2" t="s">
        <v>182</v>
      </c>
      <c r="E1728" s="2" t="s">
        <v>148</v>
      </c>
      <c r="F1728" s="2" t="s">
        <v>2936</v>
      </c>
      <c r="G1728" s="2">
        <v>761.2</v>
      </c>
      <c r="H1728" s="2">
        <v>0</v>
      </c>
      <c r="I1728" s="2">
        <v>0</v>
      </c>
      <c r="J1728" s="2">
        <v>0</v>
      </c>
      <c r="K1728" s="2">
        <v>0</v>
      </c>
      <c r="L1728" s="2">
        <v>0</v>
      </c>
      <c r="M1728" s="2">
        <v>30</v>
      </c>
      <c r="N1728" s="2">
        <v>0</v>
      </c>
      <c r="O1728" s="2">
        <v>0</v>
      </c>
      <c r="P1728" s="2">
        <v>0</v>
      </c>
      <c r="Q1728" s="2">
        <v>0</v>
      </c>
      <c r="R1728" s="2">
        <v>0</v>
      </c>
      <c r="S1728" s="2">
        <v>0</v>
      </c>
      <c r="T1728" s="2">
        <v>0</v>
      </c>
      <c r="U1728" s="2">
        <v>0</v>
      </c>
      <c r="W1728" s="2">
        <v>0</v>
      </c>
      <c r="X1728" s="2">
        <v>791.2</v>
      </c>
    </row>
    <row r="1729" spans="1:24" x14ac:dyDescent="0.25">
      <c r="G1729" s="2" t="s">
        <v>2937</v>
      </c>
    </row>
    <row r="1730" spans="1:24" x14ac:dyDescent="0.25">
      <c r="A1730" s="2">
        <v>862</v>
      </c>
      <c r="B1730" s="2">
        <v>7831</v>
      </c>
      <c r="C1730" s="2" t="s">
        <v>384</v>
      </c>
      <c r="D1730" s="2" t="s">
        <v>182</v>
      </c>
      <c r="E1730" s="2" t="s">
        <v>2938</v>
      </c>
      <c r="F1730" s="2" t="s">
        <v>2939</v>
      </c>
      <c r="G1730" s="2">
        <v>790.9</v>
      </c>
      <c r="H1730" s="2">
        <v>0</v>
      </c>
      <c r="I1730" s="2">
        <v>0</v>
      </c>
      <c r="J1730" s="2">
        <v>0</v>
      </c>
      <c r="K1730" s="2">
        <v>0</v>
      </c>
      <c r="L1730" s="2">
        <v>0</v>
      </c>
      <c r="M1730" s="2">
        <v>0</v>
      </c>
      <c r="N1730" s="2">
        <v>0</v>
      </c>
      <c r="O1730" s="2">
        <v>0</v>
      </c>
      <c r="P1730" s="2">
        <v>0</v>
      </c>
      <c r="Q1730" s="2">
        <v>0</v>
      </c>
      <c r="R1730" s="2">
        <v>0</v>
      </c>
      <c r="S1730" s="2">
        <v>0</v>
      </c>
      <c r="T1730" s="2">
        <v>0</v>
      </c>
      <c r="U1730" s="2">
        <v>0</v>
      </c>
      <c r="W1730" s="2">
        <v>0</v>
      </c>
      <c r="X1730" s="2">
        <v>790.9</v>
      </c>
    </row>
    <row r="1731" spans="1:24" x14ac:dyDescent="0.25">
      <c r="G1731" s="2" t="s">
        <v>2940</v>
      </c>
    </row>
    <row r="1732" spans="1:24" x14ac:dyDescent="0.25">
      <c r="A1732" s="2">
        <v>863</v>
      </c>
      <c r="B1732" s="2">
        <v>15903</v>
      </c>
      <c r="C1732" s="2" t="s">
        <v>2941</v>
      </c>
      <c r="D1732" s="2" t="s">
        <v>264</v>
      </c>
      <c r="E1732" s="2" t="s">
        <v>965</v>
      </c>
      <c r="F1732" s="2" t="s">
        <v>2942</v>
      </c>
      <c r="G1732" s="2">
        <v>760.1</v>
      </c>
      <c r="H1732" s="2">
        <v>0</v>
      </c>
      <c r="I1732" s="2">
        <v>0</v>
      </c>
      <c r="J1732" s="2">
        <v>0</v>
      </c>
      <c r="K1732" s="2">
        <v>0</v>
      </c>
      <c r="L1732" s="2">
        <v>0</v>
      </c>
      <c r="M1732" s="2">
        <v>30</v>
      </c>
      <c r="N1732" s="2">
        <v>0</v>
      </c>
      <c r="O1732" s="2">
        <v>0</v>
      </c>
      <c r="P1732" s="2">
        <v>0</v>
      </c>
      <c r="Q1732" s="2">
        <v>0</v>
      </c>
      <c r="R1732" s="2">
        <v>0</v>
      </c>
      <c r="S1732" s="2">
        <v>0</v>
      </c>
      <c r="T1732" s="2">
        <v>0</v>
      </c>
      <c r="U1732" s="2">
        <v>0</v>
      </c>
      <c r="W1732" s="2">
        <v>0</v>
      </c>
      <c r="X1732" s="2">
        <v>790.1</v>
      </c>
    </row>
    <row r="1733" spans="1:24" x14ac:dyDescent="0.25">
      <c r="G1733" s="2" t="s">
        <v>2943</v>
      </c>
    </row>
    <row r="1734" spans="1:24" x14ac:dyDescent="0.25">
      <c r="A1734" s="2">
        <v>864</v>
      </c>
      <c r="B1734" s="2">
        <v>3874</v>
      </c>
      <c r="C1734" s="2" t="s">
        <v>2944</v>
      </c>
      <c r="D1734" s="2" t="s">
        <v>252</v>
      </c>
      <c r="E1734" s="2" t="s">
        <v>39</v>
      </c>
      <c r="F1734" s="2" t="s">
        <v>2945</v>
      </c>
      <c r="G1734" s="2">
        <v>760.1</v>
      </c>
      <c r="H1734" s="2">
        <v>0</v>
      </c>
      <c r="I1734" s="2">
        <v>0</v>
      </c>
      <c r="J1734" s="2">
        <v>0</v>
      </c>
      <c r="K1734" s="2">
        <v>0</v>
      </c>
      <c r="L1734" s="2">
        <v>0</v>
      </c>
      <c r="M1734" s="2">
        <v>30</v>
      </c>
      <c r="N1734" s="2">
        <v>0</v>
      </c>
      <c r="O1734" s="2">
        <v>0</v>
      </c>
      <c r="P1734" s="2">
        <v>0</v>
      </c>
      <c r="Q1734" s="2">
        <v>0</v>
      </c>
      <c r="R1734" s="2">
        <v>0</v>
      </c>
      <c r="S1734" s="2">
        <v>0</v>
      </c>
      <c r="T1734" s="2">
        <v>0</v>
      </c>
      <c r="U1734" s="2">
        <v>0</v>
      </c>
      <c r="W1734" s="2">
        <v>0</v>
      </c>
      <c r="X1734" s="2">
        <v>790.1</v>
      </c>
    </row>
    <row r="1735" spans="1:24" x14ac:dyDescent="0.25">
      <c r="G1735" s="2" t="s">
        <v>2946</v>
      </c>
    </row>
    <row r="1736" spans="1:24" x14ac:dyDescent="0.25">
      <c r="A1736" s="2">
        <v>865</v>
      </c>
      <c r="B1736" s="2">
        <v>9911</v>
      </c>
      <c r="C1736" s="2" t="s">
        <v>2947</v>
      </c>
      <c r="D1736" s="2" t="s">
        <v>264</v>
      </c>
      <c r="E1736" s="2" t="s">
        <v>84</v>
      </c>
      <c r="F1736" s="2" t="s">
        <v>2948</v>
      </c>
      <c r="G1736" s="2">
        <v>760.1</v>
      </c>
      <c r="H1736" s="2">
        <v>0</v>
      </c>
      <c r="I1736" s="2">
        <v>0</v>
      </c>
      <c r="J1736" s="2">
        <v>0</v>
      </c>
      <c r="K1736" s="2">
        <v>0</v>
      </c>
      <c r="L1736" s="2">
        <v>0</v>
      </c>
      <c r="M1736" s="2">
        <v>0</v>
      </c>
      <c r="N1736" s="2">
        <v>30</v>
      </c>
      <c r="O1736" s="2">
        <v>0</v>
      </c>
      <c r="P1736" s="2">
        <v>0</v>
      </c>
      <c r="Q1736" s="2">
        <v>0</v>
      </c>
      <c r="R1736" s="2">
        <v>0</v>
      </c>
      <c r="S1736" s="2">
        <v>0</v>
      </c>
      <c r="T1736" s="2">
        <v>0</v>
      </c>
      <c r="U1736" s="2">
        <v>0</v>
      </c>
      <c r="W1736" s="2">
        <v>0</v>
      </c>
      <c r="X1736" s="2">
        <v>790.1</v>
      </c>
    </row>
    <row r="1737" spans="1:24" x14ac:dyDescent="0.25">
      <c r="G1737" s="2" t="s">
        <v>2949</v>
      </c>
    </row>
    <row r="1738" spans="1:24" x14ac:dyDescent="0.25">
      <c r="A1738" s="2">
        <v>866</v>
      </c>
      <c r="B1738" s="2">
        <v>3213</v>
      </c>
      <c r="C1738" s="2" t="s">
        <v>1131</v>
      </c>
      <c r="D1738" s="2" t="s">
        <v>178</v>
      </c>
      <c r="E1738" s="2" t="s">
        <v>73</v>
      </c>
      <c r="F1738" s="2" t="s">
        <v>2950</v>
      </c>
      <c r="G1738" s="2">
        <v>760.1</v>
      </c>
      <c r="H1738" s="2">
        <v>0</v>
      </c>
      <c r="I1738" s="2">
        <v>0</v>
      </c>
      <c r="J1738" s="2">
        <v>0</v>
      </c>
      <c r="K1738" s="2">
        <v>0</v>
      </c>
      <c r="L1738" s="2">
        <v>0</v>
      </c>
      <c r="M1738" s="2">
        <v>30</v>
      </c>
      <c r="N1738" s="2">
        <v>0</v>
      </c>
      <c r="O1738" s="2">
        <v>0</v>
      </c>
      <c r="P1738" s="2">
        <v>0</v>
      </c>
      <c r="Q1738" s="2">
        <v>0</v>
      </c>
      <c r="R1738" s="2">
        <v>0</v>
      </c>
      <c r="S1738" s="2">
        <v>0</v>
      </c>
      <c r="T1738" s="2">
        <v>0</v>
      </c>
      <c r="U1738" s="2">
        <v>0</v>
      </c>
      <c r="W1738" s="2">
        <v>1</v>
      </c>
      <c r="X1738" s="2">
        <v>790.1</v>
      </c>
    </row>
    <row r="1739" spans="1:24" x14ac:dyDescent="0.25">
      <c r="G1739" s="2" t="s">
        <v>2951</v>
      </c>
    </row>
    <row r="1740" spans="1:24" x14ac:dyDescent="0.25">
      <c r="A1740" s="2">
        <v>867</v>
      </c>
      <c r="B1740" s="2">
        <v>706</v>
      </c>
      <c r="C1740" s="2" t="s">
        <v>2952</v>
      </c>
      <c r="D1740" s="2" t="s">
        <v>98</v>
      </c>
      <c r="E1740" s="2" t="s">
        <v>2953</v>
      </c>
      <c r="F1740" s="2" t="s">
        <v>2954</v>
      </c>
      <c r="G1740" s="2">
        <v>789.8</v>
      </c>
      <c r="H1740" s="2">
        <v>0</v>
      </c>
      <c r="I1740" s="2">
        <v>0</v>
      </c>
      <c r="J1740" s="2">
        <v>0</v>
      </c>
      <c r="K1740" s="2">
        <v>0</v>
      </c>
      <c r="L1740" s="2">
        <v>0</v>
      </c>
      <c r="M1740" s="2">
        <v>0</v>
      </c>
      <c r="N1740" s="2">
        <v>0</v>
      </c>
      <c r="O1740" s="2">
        <v>0</v>
      </c>
      <c r="P1740" s="2">
        <v>0</v>
      </c>
      <c r="Q1740" s="2">
        <v>0</v>
      </c>
      <c r="R1740" s="2">
        <v>0</v>
      </c>
      <c r="S1740" s="2">
        <v>0</v>
      </c>
      <c r="T1740" s="2">
        <v>0</v>
      </c>
      <c r="U1740" s="2">
        <v>0</v>
      </c>
      <c r="W1740" s="2">
        <v>0</v>
      </c>
      <c r="X1740" s="2">
        <v>789.8</v>
      </c>
    </row>
    <row r="1741" spans="1:24" x14ac:dyDescent="0.25">
      <c r="G1741" s="2" t="s">
        <v>2955</v>
      </c>
    </row>
    <row r="1742" spans="1:24" x14ac:dyDescent="0.25">
      <c r="A1742" s="2">
        <v>868</v>
      </c>
      <c r="B1742" s="2">
        <v>9178</v>
      </c>
      <c r="C1742" s="2" t="s">
        <v>2956</v>
      </c>
      <c r="D1742" s="2" t="s">
        <v>98</v>
      </c>
      <c r="E1742" s="2" t="s">
        <v>39</v>
      </c>
      <c r="F1742" s="2" t="s">
        <v>2957</v>
      </c>
      <c r="G1742" s="2">
        <v>759</v>
      </c>
      <c r="H1742" s="2">
        <v>0</v>
      </c>
      <c r="I1742" s="2">
        <v>0</v>
      </c>
      <c r="J1742" s="2">
        <v>0</v>
      </c>
      <c r="K1742" s="2">
        <v>0</v>
      </c>
      <c r="L1742" s="2">
        <v>0</v>
      </c>
      <c r="M1742" s="2">
        <v>30</v>
      </c>
      <c r="N1742" s="2">
        <v>0</v>
      </c>
      <c r="O1742" s="2">
        <v>0</v>
      </c>
      <c r="P1742" s="2">
        <v>0</v>
      </c>
      <c r="Q1742" s="2">
        <v>0</v>
      </c>
      <c r="R1742" s="2">
        <v>0</v>
      </c>
      <c r="S1742" s="2">
        <v>0</v>
      </c>
      <c r="T1742" s="2">
        <v>0</v>
      </c>
      <c r="U1742" s="2">
        <v>0</v>
      </c>
      <c r="W1742" s="2">
        <v>0</v>
      </c>
      <c r="X1742" s="2">
        <v>789</v>
      </c>
    </row>
    <row r="1743" spans="1:24" x14ac:dyDescent="0.25">
      <c r="G1743" s="2" t="s">
        <v>2958</v>
      </c>
    </row>
    <row r="1744" spans="1:24" x14ac:dyDescent="0.25">
      <c r="A1744" s="2">
        <v>869</v>
      </c>
      <c r="B1744" s="2">
        <v>14320</v>
      </c>
      <c r="C1744" s="2" t="s">
        <v>2959</v>
      </c>
      <c r="D1744" s="2" t="s">
        <v>248</v>
      </c>
      <c r="E1744" s="2" t="s">
        <v>199</v>
      </c>
      <c r="F1744" s="2" t="s">
        <v>2960</v>
      </c>
      <c r="G1744" s="2">
        <v>759</v>
      </c>
      <c r="H1744" s="2">
        <v>0</v>
      </c>
      <c r="I1744" s="2">
        <v>0</v>
      </c>
      <c r="J1744" s="2">
        <v>0</v>
      </c>
      <c r="K1744" s="2">
        <v>0</v>
      </c>
      <c r="L1744" s="2">
        <v>0</v>
      </c>
      <c r="M1744" s="2">
        <v>30</v>
      </c>
      <c r="N1744" s="2">
        <v>0</v>
      </c>
      <c r="O1744" s="2">
        <v>0</v>
      </c>
      <c r="P1744" s="2">
        <v>0</v>
      </c>
      <c r="Q1744" s="2">
        <v>0</v>
      </c>
      <c r="R1744" s="2">
        <v>0</v>
      </c>
      <c r="S1744" s="2">
        <v>0</v>
      </c>
      <c r="T1744" s="2">
        <v>0</v>
      </c>
      <c r="U1744" s="2">
        <v>0</v>
      </c>
      <c r="W1744" s="2">
        <v>0</v>
      </c>
      <c r="X1744" s="2">
        <v>789</v>
      </c>
    </row>
    <row r="1745" spans="1:24" x14ac:dyDescent="0.25">
      <c r="G1745" s="2" t="s">
        <v>2961</v>
      </c>
    </row>
    <row r="1746" spans="1:24" x14ac:dyDescent="0.25">
      <c r="A1746" s="2">
        <v>870</v>
      </c>
      <c r="B1746" s="2">
        <v>13149</v>
      </c>
      <c r="C1746" s="2" t="s">
        <v>2962</v>
      </c>
      <c r="D1746" s="2" t="s">
        <v>39</v>
      </c>
      <c r="E1746" s="2" t="s">
        <v>79</v>
      </c>
      <c r="F1746" s="2" t="s">
        <v>2963</v>
      </c>
      <c r="G1746" s="2">
        <v>759</v>
      </c>
      <c r="H1746" s="2">
        <v>0</v>
      </c>
      <c r="I1746" s="2">
        <v>0</v>
      </c>
      <c r="J1746" s="2">
        <v>0</v>
      </c>
      <c r="K1746" s="2">
        <v>0</v>
      </c>
      <c r="L1746" s="2">
        <v>0</v>
      </c>
      <c r="M1746" s="2">
        <v>30</v>
      </c>
      <c r="N1746" s="2">
        <v>0</v>
      </c>
      <c r="O1746" s="2">
        <v>0</v>
      </c>
      <c r="P1746" s="2">
        <v>0</v>
      </c>
      <c r="Q1746" s="2">
        <v>0</v>
      </c>
      <c r="R1746" s="2">
        <v>0</v>
      </c>
      <c r="S1746" s="2">
        <v>0</v>
      </c>
      <c r="T1746" s="2">
        <v>0</v>
      </c>
      <c r="U1746" s="2">
        <v>0</v>
      </c>
      <c r="W1746" s="2">
        <v>0</v>
      </c>
      <c r="X1746" s="2">
        <v>789</v>
      </c>
    </row>
    <row r="1747" spans="1:24" x14ac:dyDescent="0.25">
      <c r="G1747" s="2" t="s">
        <v>2964</v>
      </c>
    </row>
    <row r="1748" spans="1:24" x14ac:dyDescent="0.25">
      <c r="A1748" s="2">
        <v>871</v>
      </c>
      <c r="B1748" s="2">
        <v>13360</v>
      </c>
      <c r="C1748" s="2" t="s">
        <v>2965</v>
      </c>
      <c r="D1748" s="2" t="s">
        <v>78</v>
      </c>
      <c r="E1748" s="2" t="s">
        <v>642</v>
      </c>
      <c r="F1748" s="2" t="s">
        <v>2966</v>
      </c>
      <c r="G1748" s="2">
        <v>787.6</v>
      </c>
      <c r="H1748" s="2">
        <v>0</v>
      </c>
      <c r="I1748" s="2">
        <v>0</v>
      </c>
      <c r="J1748" s="2">
        <v>0</v>
      </c>
      <c r="K1748" s="2">
        <v>0</v>
      </c>
      <c r="L1748" s="2">
        <v>0</v>
      </c>
      <c r="M1748" s="2">
        <v>0</v>
      </c>
      <c r="N1748" s="2">
        <v>0</v>
      </c>
      <c r="O1748" s="2">
        <v>0</v>
      </c>
      <c r="P1748" s="2">
        <v>0</v>
      </c>
      <c r="Q1748" s="2">
        <v>0</v>
      </c>
      <c r="R1748" s="2">
        <v>0</v>
      </c>
      <c r="S1748" s="2">
        <v>0</v>
      </c>
      <c r="T1748" s="2">
        <v>0</v>
      </c>
      <c r="U1748" s="2">
        <v>0</v>
      </c>
      <c r="W1748" s="2">
        <v>0</v>
      </c>
      <c r="X1748" s="2">
        <v>787.6</v>
      </c>
    </row>
    <row r="1749" spans="1:24" x14ac:dyDescent="0.25">
      <c r="G1749" s="2" t="s">
        <v>2967</v>
      </c>
    </row>
    <row r="1750" spans="1:24" x14ac:dyDescent="0.25">
      <c r="A1750" s="2">
        <v>872</v>
      </c>
      <c r="B1750" s="2">
        <v>10188</v>
      </c>
      <c r="C1750" s="2" t="s">
        <v>2968</v>
      </c>
      <c r="D1750" s="2" t="s">
        <v>264</v>
      </c>
      <c r="E1750" s="2" t="s">
        <v>540</v>
      </c>
      <c r="F1750" s="2" t="s">
        <v>2969</v>
      </c>
      <c r="G1750" s="2">
        <v>756.8</v>
      </c>
      <c r="H1750" s="2">
        <v>0</v>
      </c>
      <c r="I1750" s="2">
        <v>0</v>
      </c>
      <c r="J1750" s="2">
        <v>0</v>
      </c>
      <c r="K1750" s="2">
        <v>0</v>
      </c>
      <c r="L1750" s="2">
        <v>0</v>
      </c>
      <c r="M1750" s="2">
        <v>30</v>
      </c>
      <c r="N1750" s="2">
        <v>0</v>
      </c>
      <c r="O1750" s="2">
        <v>0</v>
      </c>
      <c r="P1750" s="2">
        <v>0</v>
      </c>
      <c r="Q1750" s="2">
        <v>0</v>
      </c>
      <c r="R1750" s="2">
        <v>0</v>
      </c>
      <c r="S1750" s="2">
        <v>0</v>
      </c>
      <c r="T1750" s="2">
        <v>0</v>
      </c>
      <c r="U1750" s="2">
        <v>0</v>
      </c>
      <c r="W1750" s="2">
        <v>0</v>
      </c>
      <c r="X1750" s="2">
        <v>786.8</v>
      </c>
    </row>
    <row r="1751" spans="1:24" x14ac:dyDescent="0.25">
      <c r="G1751" s="2" t="s">
        <v>2970</v>
      </c>
    </row>
    <row r="1752" spans="1:24" x14ac:dyDescent="0.25">
      <c r="A1752" s="2">
        <v>873</v>
      </c>
      <c r="B1752" s="2">
        <v>4733</v>
      </c>
      <c r="C1752" s="2" t="s">
        <v>2971</v>
      </c>
      <c r="D1752" s="2" t="s">
        <v>112</v>
      </c>
      <c r="E1752" s="2" t="s">
        <v>456</v>
      </c>
      <c r="F1752" s="2" t="s">
        <v>2972</v>
      </c>
      <c r="G1752" s="2">
        <v>756.8</v>
      </c>
      <c r="H1752" s="2">
        <v>0</v>
      </c>
      <c r="I1752" s="2">
        <v>0</v>
      </c>
      <c r="J1752" s="2">
        <v>0</v>
      </c>
      <c r="K1752" s="2">
        <v>0</v>
      </c>
      <c r="L1752" s="2">
        <v>0</v>
      </c>
      <c r="M1752" s="2">
        <v>30</v>
      </c>
      <c r="N1752" s="2">
        <v>0</v>
      </c>
      <c r="O1752" s="2">
        <v>0</v>
      </c>
      <c r="P1752" s="2">
        <v>0</v>
      </c>
      <c r="Q1752" s="2">
        <v>0</v>
      </c>
      <c r="R1752" s="2">
        <v>0</v>
      </c>
      <c r="S1752" s="2">
        <v>0</v>
      </c>
      <c r="T1752" s="2">
        <v>0</v>
      </c>
      <c r="U1752" s="2">
        <v>0</v>
      </c>
      <c r="W1752" s="2">
        <v>0</v>
      </c>
      <c r="X1752" s="2">
        <v>786.8</v>
      </c>
    </row>
    <row r="1753" spans="1:24" x14ac:dyDescent="0.25">
      <c r="G1753" s="2" t="s">
        <v>2973</v>
      </c>
    </row>
    <row r="1754" spans="1:24" x14ac:dyDescent="0.25">
      <c r="A1754" s="2">
        <v>874</v>
      </c>
      <c r="B1754" s="2">
        <v>14830</v>
      </c>
      <c r="C1754" s="2" t="s">
        <v>2974</v>
      </c>
      <c r="D1754" s="2" t="s">
        <v>56</v>
      </c>
      <c r="E1754" s="2" t="s">
        <v>51</v>
      </c>
      <c r="F1754" s="2" t="s">
        <v>2975</v>
      </c>
      <c r="G1754" s="2">
        <v>786.5</v>
      </c>
      <c r="H1754" s="2">
        <v>0</v>
      </c>
      <c r="I1754" s="2">
        <v>0</v>
      </c>
      <c r="J1754" s="2">
        <v>0</v>
      </c>
      <c r="K1754" s="2">
        <v>0</v>
      </c>
      <c r="L1754" s="2">
        <v>0</v>
      </c>
      <c r="M1754" s="2">
        <v>0</v>
      </c>
      <c r="N1754" s="2">
        <v>0</v>
      </c>
      <c r="O1754" s="2">
        <v>0</v>
      </c>
      <c r="P1754" s="2">
        <v>0</v>
      </c>
      <c r="Q1754" s="2">
        <v>0</v>
      </c>
      <c r="R1754" s="2">
        <v>0</v>
      </c>
      <c r="S1754" s="2">
        <v>0</v>
      </c>
      <c r="T1754" s="2">
        <v>0</v>
      </c>
      <c r="U1754" s="2">
        <v>0</v>
      </c>
      <c r="W1754" s="2">
        <v>0</v>
      </c>
      <c r="X1754" s="2">
        <v>786.5</v>
      </c>
    </row>
    <row r="1755" spans="1:24" x14ac:dyDescent="0.25">
      <c r="G1755" s="2" t="s">
        <v>2976</v>
      </c>
    </row>
    <row r="1756" spans="1:24" x14ac:dyDescent="0.25">
      <c r="A1756" s="2">
        <v>875</v>
      </c>
      <c r="B1756" s="2">
        <v>7238</v>
      </c>
      <c r="C1756" s="2" t="s">
        <v>2977</v>
      </c>
      <c r="D1756" s="2" t="s">
        <v>138</v>
      </c>
      <c r="E1756" s="2" t="s">
        <v>2978</v>
      </c>
      <c r="F1756" s="2" t="s">
        <v>2979</v>
      </c>
      <c r="G1756" s="2">
        <v>786.5</v>
      </c>
      <c r="H1756" s="2">
        <v>0</v>
      </c>
      <c r="I1756" s="2">
        <v>0</v>
      </c>
      <c r="J1756" s="2">
        <v>0</v>
      </c>
      <c r="K1756" s="2">
        <v>0</v>
      </c>
      <c r="L1756" s="2">
        <v>0</v>
      </c>
      <c r="M1756" s="2">
        <v>0</v>
      </c>
      <c r="N1756" s="2">
        <v>0</v>
      </c>
      <c r="O1756" s="2">
        <v>0</v>
      </c>
      <c r="P1756" s="2">
        <v>0</v>
      </c>
      <c r="Q1756" s="2">
        <v>0</v>
      </c>
      <c r="R1756" s="2">
        <v>0</v>
      </c>
      <c r="S1756" s="2">
        <v>0</v>
      </c>
      <c r="T1756" s="2">
        <v>0</v>
      </c>
      <c r="U1756" s="2">
        <v>0</v>
      </c>
      <c r="W1756" s="2">
        <v>0</v>
      </c>
      <c r="X1756" s="2">
        <v>786.5</v>
      </c>
    </row>
    <row r="1757" spans="1:24" x14ac:dyDescent="0.25">
      <c r="G1757" s="2" t="s">
        <v>2980</v>
      </c>
    </row>
    <row r="1758" spans="1:24" x14ac:dyDescent="0.25">
      <c r="A1758" s="2">
        <v>876</v>
      </c>
      <c r="B1758" s="2">
        <v>15566</v>
      </c>
      <c r="C1758" s="2" t="s">
        <v>2981</v>
      </c>
      <c r="D1758" s="2" t="s">
        <v>112</v>
      </c>
      <c r="E1758" s="2" t="s">
        <v>73</v>
      </c>
      <c r="F1758" s="2" t="s">
        <v>2982</v>
      </c>
      <c r="G1758" s="2">
        <v>755.7</v>
      </c>
      <c r="H1758" s="2">
        <v>0</v>
      </c>
      <c r="I1758" s="2">
        <v>0</v>
      </c>
      <c r="J1758" s="2">
        <v>0</v>
      </c>
      <c r="K1758" s="2">
        <v>0</v>
      </c>
      <c r="L1758" s="2">
        <v>0</v>
      </c>
      <c r="M1758" s="2">
        <v>30</v>
      </c>
      <c r="N1758" s="2">
        <v>0</v>
      </c>
      <c r="O1758" s="2">
        <v>0</v>
      </c>
      <c r="P1758" s="2">
        <v>0</v>
      </c>
      <c r="Q1758" s="2">
        <v>0</v>
      </c>
      <c r="R1758" s="2">
        <v>0</v>
      </c>
      <c r="S1758" s="2">
        <v>0</v>
      </c>
      <c r="T1758" s="2">
        <v>0</v>
      </c>
      <c r="U1758" s="2">
        <v>0</v>
      </c>
      <c r="W1758" s="2">
        <v>0</v>
      </c>
      <c r="X1758" s="2">
        <v>785.7</v>
      </c>
    </row>
    <row r="1759" spans="1:24" x14ac:dyDescent="0.25">
      <c r="G1759" s="2" t="s">
        <v>2983</v>
      </c>
    </row>
    <row r="1760" spans="1:24" x14ac:dyDescent="0.25">
      <c r="A1760" s="2">
        <v>877</v>
      </c>
      <c r="B1760" s="2">
        <v>17207</v>
      </c>
      <c r="C1760" s="2" t="s">
        <v>2985</v>
      </c>
      <c r="D1760" s="2" t="s">
        <v>264</v>
      </c>
      <c r="E1760" s="2" t="s">
        <v>1677</v>
      </c>
      <c r="F1760" s="2" t="s">
        <v>2986</v>
      </c>
      <c r="G1760" s="2">
        <v>785.4</v>
      </c>
      <c r="H1760" s="2">
        <v>0</v>
      </c>
      <c r="I1760" s="2">
        <v>0</v>
      </c>
      <c r="J1760" s="2">
        <v>0</v>
      </c>
      <c r="K1760" s="2">
        <v>0</v>
      </c>
      <c r="L1760" s="2">
        <v>0</v>
      </c>
      <c r="M1760" s="2">
        <v>0</v>
      </c>
      <c r="N1760" s="2">
        <v>0</v>
      </c>
      <c r="O1760" s="2">
        <v>0</v>
      </c>
      <c r="P1760" s="2">
        <v>0</v>
      </c>
      <c r="Q1760" s="2">
        <v>0</v>
      </c>
      <c r="R1760" s="2">
        <v>0</v>
      </c>
      <c r="S1760" s="2">
        <v>0</v>
      </c>
      <c r="T1760" s="2">
        <v>0</v>
      </c>
      <c r="U1760" s="2">
        <v>0</v>
      </c>
      <c r="W1760" s="2">
        <v>0</v>
      </c>
      <c r="X1760" s="2">
        <v>785.4</v>
      </c>
    </row>
    <row r="1761" spans="1:24" x14ac:dyDescent="0.25">
      <c r="G1761" s="2" t="s">
        <v>2987</v>
      </c>
    </row>
    <row r="1762" spans="1:24" x14ac:dyDescent="0.25">
      <c r="A1762" s="2">
        <v>878</v>
      </c>
      <c r="B1762" s="2">
        <v>5596</v>
      </c>
      <c r="C1762" s="2" t="s">
        <v>2988</v>
      </c>
      <c r="D1762" s="2" t="s">
        <v>365</v>
      </c>
      <c r="E1762" s="2" t="s">
        <v>51</v>
      </c>
      <c r="F1762" s="2" t="s">
        <v>2989</v>
      </c>
      <c r="G1762" s="2">
        <v>715</v>
      </c>
      <c r="H1762" s="2">
        <v>0</v>
      </c>
      <c r="I1762" s="2">
        <v>0</v>
      </c>
      <c r="J1762" s="2">
        <v>0</v>
      </c>
      <c r="K1762" s="2">
        <v>0</v>
      </c>
      <c r="L1762" s="2">
        <v>0</v>
      </c>
      <c r="M1762" s="2">
        <v>70</v>
      </c>
      <c r="N1762" s="2">
        <v>0</v>
      </c>
      <c r="O1762" s="2">
        <v>0</v>
      </c>
      <c r="P1762" s="2">
        <v>0</v>
      </c>
      <c r="Q1762" s="2">
        <v>0</v>
      </c>
      <c r="R1762" s="2">
        <v>0</v>
      </c>
      <c r="S1762" s="2">
        <v>0</v>
      </c>
      <c r="T1762" s="2">
        <v>0</v>
      </c>
      <c r="U1762" s="2">
        <v>0</v>
      </c>
      <c r="W1762" s="2">
        <v>0</v>
      </c>
      <c r="X1762" s="2">
        <v>785</v>
      </c>
    </row>
    <row r="1763" spans="1:24" x14ac:dyDescent="0.25">
      <c r="G1763" s="2" t="s">
        <v>2990</v>
      </c>
    </row>
    <row r="1764" spans="1:24" x14ac:dyDescent="0.25">
      <c r="A1764" s="2">
        <v>879</v>
      </c>
      <c r="B1764" s="2">
        <v>14577</v>
      </c>
      <c r="C1764" s="2" t="s">
        <v>2991</v>
      </c>
      <c r="D1764" s="2" t="s">
        <v>51</v>
      </c>
      <c r="E1764" s="2" t="s">
        <v>194</v>
      </c>
      <c r="F1764" s="2" t="s">
        <v>2992</v>
      </c>
      <c r="G1764" s="2">
        <v>784.3</v>
      </c>
      <c r="H1764" s="2">
        <v>0</v>
      </c>
      <c r="I1764" s="2">
        <v>0</v>
      </c>
      <c r="J1764" s="2">
        <v>0</v>
      </c>
      <c r="K1764" s="2">
        <v>0</v>
      </c>
      <c r="L1764" s="2">
        <v>0</v>
      </c>
      <c r="M1764" s="2">
        <v>0</v>
      </c>
      <c r="N1764" s="2">
        <v>0</v>
      </c>
      <c r="O1764" s="2">
        <v>0</v>
      </c>
      <c r="P1764" s="2">
        <v>0</v>
      </c>
      <c r="Q1764" s="2">
        <v>0</v>
      </c>
      <c r="R1764" s="2">
        <v>0</v>
      </c>
      <c r="S1764" s="2">
        <v>0</v>
      </c>
      <c r="T1764" s="2">
        <v>0</v>
      </c>
      <c r="U1764" s="2">
        <v>0</v>
      </c>
      <c r="W1764" s="2">
        <v>0</v>
      </c>
      <c r="X1764" s="2">
        <v>784.3</v>
      </c>
    </row>
    <row r="1765" spans="1:24" x14ac:dyDescent="0.25">
      <c r="G1765" s="2" t="s">
        <v>2993</v>
      </c>
    </row>
    <row r="1766" spans="1:24" x14ac:dyDescent="0.25">
      <c r="A1766" s="2">
        <v>880</v>
      </c>
      <c r="B1766" s="2">
        <v>7604</v>
      </c>
      <c r="C1766" s="2" t="s">
        <v>2994</v>
      </c>
      <c r="D1766" s="2" t="s">
        <v>194</v>
      </c>
      <c r="E1766" s="2" t="s">
        <v>84</v>
      </c>
      <c r="F1766" s="2" t="s">
        <v>2995</v>
      </c>
      <c r="G1766" s="2">
        <v>784.3</v>
      </c>
      <c r="H1766" s="2">
        <v>0</v>
      </c>
      <c r="I1766" s="2">
        <v>0</v>
      </c>
      <c r="J1766" s="2">
        <v>0</v>
      </c>
      <c r="K1766" s="2">
        <v>0</v>
      </c>
      <c r="L1766" s="2">
        <v>0</v>
      </c>
      <c r="M1766" s="2">
        <v>0</v>
      </c>
      <c r="N1766" s="2">
        <v>0</v>
      </c>
      <c r="O1766" s="2">
        <v>0</v>
      </c>
      <c r="P1766" s="2">
        <v>0</v>
      </c>
      <c r="Q1766" s="2">
        <v>0</v>
      </c>
      <c r="R1766" s="2">
        <v>0</v>
      </c>
      <c r="S1766" s="2">
        <v>0</v>
      </c>
      <c r="T1766" s="2">
        <v>0</v>
      </c>
      <c r="U1766" s="2">
        <v>0</v>
      </c>
      <c r="W1766" s="2">
        <v>0</v>
      </c>
      <c r="X1766" s="2">
        <v>784.3</v>
      </c>
    </row>
    <row r="1767" spans="1:24" x14ac:dyDescent="0.25">
      <c r="G1767" s="2" t="s">
        <v>2996</v>
      </c>
    </row>
    <row r="1768" spans="1:24" x14ac:dyDescent="0.25">
      <c r="A1768" s="2">
        <v>881</v>
      </c>
      <c r="B1768" s="2">
        <v>10343</v>
      </c>
      <c r="C1768" s="2" t="s">
        <v>2997</v>
      </c>
      <c r="D1768" s="2" t="s">
        <v>2998</v>
      </c>
      <c r="E1768" s="2" t="s">
        <v>342</v>
      </c>
      <c r="F1768" s="2" t="s">
        <v>2999</v>
      </c>
      <c r="G1768" s="2">
        <v>784.3</v>
      </c>
      <c r="H1768" s="2">
        <v>0</v>
      </c>
      <c r="I1768" s="2">
        <v>0</v>
      </c>
      <c r="J1768" s="2">
        <v>0</v>
      </c>
      <c r="K1768" s="2">
        <v>0</v>
      </c>
      <c r="L1768" s="2">
        <v>0</v>
      </c>
      <c r="M1768" s="2">
        <v>0</v>
      </c>
      <c r="N1768" s="2">
        <v>0</v>
      </c>
      <c r="O1768" s="2">
        <v>0</v>
      </c>
      <c r="P1768" s="2">
        <v>0</v>
      </c>
      <c r="Q1768" s="2">
        <v>0</v>
      </c>
      <c r="R1768" s="2">
        <v>0</v>
      </c>
      <c r="S1768" s="2">
        <v>0</v>
      </c>
      <c r="T1768" s="2">
        <v>0</v>
      </c>
      <c r="U1768" s="2">
        <v>0</v>
      </c>
      <c r="W1768" s="2">
        <v>0</v>
      </c>
      <c r="X1768" s="2">
        <v>784.3</v>
      </c>
    </row>
    <row r="1769" spans="1:24" x14ac:dyDescent="0.25">
      <c r="G1769" s="2" t="s">
        <v>3000</v>
      </c>
    </row>
    <row r="1770" spans="1:24" x14ac:dyDescent="0.25">
      <c r="A1770" s="2">
        <v>882</v>
      </c>
      <c r="B1770" s="2">
        <v>14590</v>
      </c>
      <c r="C1770" s="2" t="s">
        <v>3001</v>
      </c>
      <c r="D1770" s="2" t="s">
        <v>3002</v>
      </c>
      <c r="E1770" s="2" t="s">
        <v>148</v>
      </c>
      <c r="F1770" s="2" t="s">
        <v>3003</v>
      </c>
      <c r="G1770" s="2">
        <v>783.2</v>
      </c>
      <c r="H1770" s="2">
        <v>0</v>
      </c>
      <c r="I1770" s="2">
        <v>0</v>
      </c>
      <c r="J1770" s="2">
        <v>0</v>
      </c>
      <c r="K1770" s="2">
        <v>0</v>
      </c>
      <c r="L1770" s="2">
        <v>0</v>
      </c>
      <c r="M1770" s="2">
        <v>0</v>
      </c>
      <c r="N1770" s="2">
        <v>0</v>
      </c>
      <c r="O1770" s="2">
        <v>0</v>
      </c>
      <c r="P1770" s="2">
        <v>0</v>
      </c>
      <c r="Q1770" s="2">
        <v>0</v>
      </c>
      <c r="R1770" s="2">
        <v>0</v>
      </c>
      <c r="S1770" s="2">
        <v>0</v>
      </c>
      <c r="T1770" s="2">
        <v>0</v>
      </c>
      <c r="U1770" s="2">
        <v>0</v>
      </c>
      <c r="W1770" s="2">
        <v>0</v>
      </c>
      <c r="X1770" s="2">
        <v>783.2</v>
      </c>
    </row>
    <row r="1771" spans="1:24" x14ac:dyDescent="0.25">
      <c r="G1771" s="2" t="s">
        <v>3004</v>
      </c>
    </row>
    <row r="1772" spans="1:24" x14ac:dyDescent="0.25">
      <c r="A1772" s="2">
        <v>883</v>
      </c>
      <c r="B1772" s="2">
        <v>11160</v>
      </c>
      <c r="C1772" s="2" t="s">
        <v>239</v>
      </c>
      <c r="D1772" s="2" t="s">
        <v>399</v>
      </c>
      <c r="E1772" s="2" t="s">
        <v>597</v>
      </c>
      <c r="F1772" s="2" t="s">
        <v>3005</v>
      </c>
      <c r="G1772" s="2">
        <v>783.2</v>
      </c>
      <c r="H1772" s="2">
        <v>0</v>
      </c>
      <c r="I1772" s="2">
        <v>0</v>
      </c>
      <c r="J1772" s="2">
        <v>0</v>
      </c>
      <c r="K1772" s="2">
        <v>0</v>
      </c>
      <c r="L1772" s="2">
        <v>0</v>
      </c>
      <c r="M1772" s="2">
        <v>0</v>
      </c>
      <c r="N1772" s="2">
        <v>0</v>
      </c>
      <c r="O1772" s="2">
        <v>0</v>
      </c>
      <c r="P1772" s="2">
        <v>0</v>
      </c>
      <c r="Q1772" s="2">
        <v>0</v>
      </c>
      <c r="R1772" s="2">
        <v>0</v>
      </c>
      <c r="S1772" s="2">
        <v>0</v>
      </c>
      <c r="T1772" s="2">
        <v>0</v>
      </c>
      <c r="U1772" s="2">
        <v>0</v>
      </c>
      <c r="W1772" s="2">
        <v>0</v>
      </c>
      <c r="X1772" s="2">
        <v>783.2</v>
      </c>
    </row>
    <row r="1773" spans="1:24" x14ac:dyDescent="0.25">
      <c r="G1773" s="2" t="s">
        <v>3006</v>
      </c>
    </row>
    <row r="1774" spans="1:24" x14ac:dyDescent="0.25">
      <c r="A1774" s="2">
        <v>884</v>
      </c>
      <c r="B1774" s="2">
        <v>10605</v>
      </c>
      <c r="C1774" s="2" t="s">
        <v>3007</v>
      </c>
      <c r="D1774" s="2" t="s">
        <v>871</v>
      </c>
      <c r="E1774" s="2" t="s">
        <v>430</v>
      </c>
      <c r="F1774" s="2" t="s">
        <v>3008</v>
      </c>
      <c r="G1774" s="2">
        <v>783.2</v>
      </c>
      <c r="H1774" s="2">
        <v>0</v>
      </c>
      <c r="I1774" s="2">
        <v>0</v>
      </c>
      <c r="J1774" s="2">
        <v>0</v>
      </c>
      <c r="K1774" s="2">
        <v>0</v>
      </c>
      <c r="L1774" s="2">
        <v>0</v>
      </c>
      <c r="M1774" s="2">
        <v>0</v>
      </c>
      <c r="N1774" s="2">
        <v>0</v>
      </c>
      <c r="O1774" s="2">
        <v>0</v>
      </c>
      <c r="P1774" s="2">
        <v>0</v>
      </c>
      <c r="Q1774" s="2">
        <v>0</v>
      </c>
      <c r="R1774" s="2">
        <v>0</v>
      </c>
      <c r="S1774" s="2">
        <v>0</v>
      </c>
      <c r="T1774" s="2">
        <v>0</v>
      </c>
      <c r="U1774" s="2">
        <v>0</v>
      </c>
      <c r="W1774" s="2">
        <v>0</v>
      </c>
      <c r="X1774" s="2">
        <v>783.2</v>
      </c>
    </row>
    <row r="1775" spans="1:24" x14ac:dyDescent="0.25">
      <c r="G1775" s="2" t="s">
        <v>3009</v>
      </c>
    </row>
    <row r="1776" spans="1:24" x14ac:dyDescent="0.25">
      <c r="A1776" s="2">
        <v>885</v>
      </c>
      <c r="B1776" s="2">
        <v>13235</v>
      </c>
      <c r="C1776" s="2" t="s">
        <v>3010</v>
      </c>
      <c r="D1776" s="2" t="s">
        <v>3011</v>
      </c>
      <c r="E1776" s="2" t="s">
        <v>723</v>
      </c>
      <c r="F1776" s="2" t="s">
        <v>3012</v>
      </c>
      <c r="G1776" s="2">
        <v>712.8</v>
      </c>
      <c r="H1776" s="2">
        <v>0</v>
      </c>
      <c r="I1776" s="2">
        <v>0</v>
      </c>
      <c r="J1776" s="2">
        <v>0</v>
      </c>
      <c r="K1776" s="2">
        <v>0</v>
      </c>
      <c r="L1776" s="2">
        <v>0</v>
      </c>
      <c r="M1776" s="2">
        <v>70</v>
      </c>
      <c r="N1776" s="2">
        <v>0</v>
      </c>
      <c r="O1776" s="2">
        <v>0</v>
      </c>
      <c r="P1776" s="2">
        <v>0</v>
      </c>
      <c r="Q1776" s="2">
        <v>0</v>
      </c>
      <c r="R1776" s="2">
        <v>0</v>
      </c>
      <c r="S1776" s="2">
        <v>0</v>
      </c>
      <c r="T1776" s="2">
        <v>0</v>
      </c>
      <c r="U1776" s="2">
        <v>0</v>
      </c>
      <c r="W1776" s="2">
        <v>0</v>
      </c>
      <c r="X1776" s="2">
        <v>782.8</v>
      </c>
    </row>
    <row r="1777" spans="1:24" x14ac:dyDescent="0.25">
      <c r="G1777" s="2" t="s">
        <v>3013</v>
      </c>
    </row>
    <row r="1778" spans="1:24" x14ac:dyDescent="0.25">
      <c r="A1778" s="2">
        <v>886</v>
      </c>
      <c r="B1778" s="2">
        <v>10340</v>
      </c>
      <c r="C1778" s="2" t="s">
        <v>3014</v>
      </c>
      <c r="D1778" s="2" t="s">
        <v>248</v>
      </c>
      <c r="E1778" s="2" t="s">
        <v>73</v>
      </c>
      <c r="F1778" s="2" t="s">
        <v>3015</v>
      </c>
      <c r="G1778" s="2">
        <v>752.4</v>
      </c>
      <c r="H1778" s="2">
        <v>0</v>
      </c>
      <c r="I1778" s="2">
        <v>0</v>
      </c>
      <c r="J1778" s="2">
        <v>0</v>
      </c>
      <c r="K1778" s="2">
        <v>0</v>
      </c>
      <c r="L1778" s="2">
        <v>0</v>
      </c>
      <c r="M1778" s="2">
        <v>30</v>
      </c>
      <c r="N1778" s="2">
        <v>0</v>
      </c>
      <c r="O1778" s="2">
        <v>0</v>
      </c>
      <c r="P1778" s="2">
        <v>0</v>
      </c>
      <c r="Q1778" s="2">
        <v>0</v>
      </c>
      <c r="R1778" s="2">
        <v>0</v>
      </c>
      <c r="S1778" s="2">
        <v>0</v>
      </c>
      <c r="T1778" s="2">
        <v>0</v>
      </c>
      <c r="U1778" s="2">
        <v>0</v>
      </c>
      <c r="W1778" s="2">
        <v>0</v>
      </c>
      <c r="X1778" s="2">
        <v>782.4</v>
      </c>
    </row>
    <row r="1779" spans="1:24" x14ac:dyDescent="0.25">
      <c r="G1779" s="2" t="s">
        <v>3016</v>
      </c>
    </row>
    <row r="1780" spans="1:24" x14ac:dyDescent="0.25">
      <c r="A1780" s="2">
        <v>887</v>
      </c>
      <c r="B1780" s="2">
        <v>15410</v>
      </c>
      <c r="C1780" s="2" t="s">
        <v>3017</v>
      </c>
      <c r="D1780" s="2" t="s">
        <v>194</v>
      </c>
      <c r="E1780" s="2" t="s">
        <v>3018</v>
      </c>
      <c r="F1780" s="2" t="s">
        <v>3019</v>
      </c>
      <c r="G1780" s="2">
        <v>782.1</v>
      </c>
      <c r="H1780" s="2">
        <v>0</v>
      </c>
      <c r="I1780" s="2">
        <v>0</v>
      </c>
      <c r="J1780" s="2">
        <v>0</v>
      </c>
      <c r="K1780" s="2">
        <v>0</v>
      </c>
      <c r="L1780" s="2">
        <v>0</v>
      </c>
      <c r="M1780" s="2">
        <v>0</v>
      </c>
      <c r="N1780" s="2">
        <v>0</v>
      </c>
      <c r="O1780" s="2">
        <v>0</v>
      </c>
      <c r="P1780" s="2">
        <v>0</v>
      </c>
      <c r="Q1780" s="2">
        <v>0</v>
      </c>
      <c r="R1780" s="2">
        <v>0</v>
      </c>
      <c r="S1780" s="2">
        <v>0</v>
      </c>
      <c r="T1780" s="2">
        <v>0</v>
      </c>
      <c r="U1780" s="2">
        <v>0</v>
      </c>
      <c r="W1780" s="2">
        <v>0</v>
      </c>
      <c r="X1780" s="2">
        <v>782.1</v>
      </c>
    </row>
    <row r="1781" spans="1:24" x14ac:dyDescent="0.25">
      <c r="G1781" s="2" t="s">
        <v>3020</v>
      </c>
    </row>
    <row r="1782" spans="1:24" x14ac:dyDescent="0.25">
      <c r="A1782" s="2">
        <v>888</v>
      </c>
      <c r="B1782" s="2">
        <v>1269</v>
      </c>
      <c r="C1782" s="2" t="s">
        <v>1557</v>
      </c>
      <c r="D1782" s="2" t="s">
        <v>3021</v>
      </c>
      <c r="E1782" s="2" t="s">
        <v>16</v>
      </c>
      <c r="F1782" s="2" t="s">
        <v>3022</v>
      </c>
      <c r="G1782" s="2">
        <v>731.5</v>
      </c>
      <c r="H1782" s="2">
        <v>0</v>
      </c>
      <c r="I1782" s="2">
        <v>0</v>
      </c>
      <c r="J1782" s="2">
        <v>0</v>
      </c>
      <c r="K1782" s="2">
        <v>0</v>
      </c>
      <c r="L1782" s="2">
        <v>0</v>
      </c>
      <c r="M1782" s="2">
        <v>50</v>
      </c>
      <c r="N1782" s="2">
        <v>0</v>
      </c>
      <c r="O1782" s="2">
        <v>0</v>
      </c>
      <c r="P1782" s="2">
        <v>0</v>
      </c>
      <c r="Q1782" s="2">
        <v>0</v>
      </c>
      <c r="R1782" s="2">
        <v>0</v>
      </c>
      <c r="S1782" s="2">
        <v>0</v>
      </c>
      <c r="T1782" s="2">
        <v>0</v>
      </c>
      <c r="U1782" s="2">
        <v>0</v>
      </c>
      <c r="W1782" s="2">
        <v>0</v>
      </c>
      <c r="X1782" s="2">
        <v>781.5</v>
      </c>
    </row>
    <row r="1783" spans="1:24" x14ac:dyDescent="0.25">
      <c r="G1783" s="2" t="s">
        <v>3023</v>
      </c>
    </row>
    <row r="1784" spans="1:24" x14ac:dyDescent="0.25">
      <c r="A1784" s="2">
        <v>889</v>
      </c>
      <c r="B1784" s="2">
        <v>6866</v>
      </c>
      <c r="C1784" s="2" t="s">
        <v>3024</v>
      </c>
      <c r="D1784" s="2" t="s">
        <v>1560</v>
      </c>
      <c r="E1784" s="2" t="s">
        <v>127</v>
      </c>
      <c r="F1784" s="2" t="s">
        <v>3025</v>
      </c>
      <c r="G1784" s="2">
        <v>751.3</v>
      </c>
      <c r="H1784" s="2">
        <v>0</v>
      </c>
      <c r="I1784" s="2">
        <v>0</v>
      </c>
      <c r="J1784" s="2">
        <v>0</v>
      </c>
      <c r="K1784" s="2">
        <v>0</v>
      </c>
      <c r="L1784" s="2">
        <v>0</v>
      </c>
      <c r="M1784" s="2">
        <v>30</v>
      </c>
      <c r="N1784" s="2">
        <v>0</v>
      </c>
      <c r="O1784" s="2">
        <v>0</v>
      </c>
      <c r="P1784" s="2">
        <v>0</v>
      </c>
      <c r="Q1784" s="2">
        <v>0</v>
      </c>
      <c r="R1784" s="2">
        <v>0</v>
      </c>
      <c r="S1784" s="2">
        <v>0</v>
      </c>
      <c r="T1784" s="2">
        <v>0</v>
      </c>
      <c r="U1784" s="2">
        <v>0</v>
      </c>
      <c r="W1784" s="2">
        <v>0</v>
      </c>
      <c r="X1784" s="2">
        <v>781.3</v>
      </c>
    </row>
    <row r="1785" spans="1:24" x14ac:dyDescent="0.25">
      <c r="G1785" s="2" t="s">
        <v>3026</v>
      </c>
    </row>
    <row r="1786" spans="1:24" x14ac:dyDescent="0.25">
      <c r="A1786" s="2">
        <v>890</v>
      </c>
      <c r="B1786" s="2">
        <v>12691</v>
      </c>
      <c r="C1786" s="2" t="s">
        <v>3027</v>
      </c>
      <c r="D1786" s="2" t="s">
        <v>294</v>
      </c>
      <c r="E1786" s="2" t="s">
        <v>1492</v>
      </c>
      <c r="F1786" s="2" t="s">
        <v>3028</v>
      </c>
      <c r="G1786" s="2">
        <v>781</v>
      </c>
      <c r="H1786" s="2">
        <v>0</v>
      </c>
      <c r="I1786" s="2">
        <v>0</v>
      </c>
      <c r="J1786" s="2">
        <v>0</v>
      </c>
      <c r="K1786" s="2">
        <v>0</v>
      </c>
      <c r="L1786" s="2">
        <v>0</v>
      </c>
      <c r="M1786" s="2">
        <v>0</v>
      </c>
      <c r="N1786" s="2">
        <v>0</v>
      </c>
      <c r="O1786" s="2">
        <v>0</v>
      </c>
      <c r="P1786" s="2">
        <v>0</v>
      </c>
      <c r="Q1786" s="2">
        <v>0</v>
      </c>
      <c r="R1786" s="2">
        <v>0</v>
      </c>
      <c r="S1786" s="2">
        <v>0</v>
      </c>
      <c r="T1786" s="2">
        <v>0</v>
      </c>
      <c r="U1786" s="2">
        <v>0</v>
      </c>
      <c r="W1786" s="2">
        <v>0</v>
      </c>
      <c r="X1786" s="2">
        <v>781</v>
      </c>
    </row>
    <row r="1787" spans="1:24" x14ac:dyDescent="0.25">
      <c r="G1787" s="2" t="s">
        <v>3029</v>
      </c>
    </row>
    <row r="1788" spans="1:24" x14ac:dyDescent="0.25">
      <c r="A1788" s="2">
        <v>891</v>
      </c>
      <c r="B1788" s="2">
        <v>17687</v>
      </c>
      <c r="C1788" s="2" t="s">
        <v>3030</v>
      </c>
      <c r="D1788" s="2" t="s">
        <v>2674</v>
      </c>
      <c r="E1788" s="2" t="s">
        <v>193</v>
      </c>
      <c r="F1788" s="2" t="s">
        <v>3031</v>
      </c>
      <c r="G1788" s="2">
        <v>781</v>
      </c>
      <c r="H1788" s="2">
        <v>0</v>
      </c>
      <c r="I1788" s="2">
        <v>0</v>
      </c>
      <c r="J1788" s="2">
        <v>0</v>
      </c>
      <c r="K1788" s="2">
        <v>0</v>
      </c>
      <c r="L1788" s="2">
        <v>0</v>
      </c>
      <c r="M1788" s="2">
        <v>0</v>
      </c>
      <c r="N1788" s="2">
        <v>0</v>
      </c>
      <c r="O1788" s="2">
        <v>0</v>
      </c>
      <c r="P1788" s="2">
        <v>0</v>
      </c>
      <c r="Q1788" s="2">
        <v>0</v>
      </c>
      <c r="R1788" s="2">
        <v>0</v>
      </c>
      <c r="S1788" s="2">
        <v>0</v>
      </c>
      <c r="T1788" s="2">
        <v>0</v>
      </c>
      <c r="U1788" s="2">
        <v>0</v>
      </c>
      <c r="W1788" s="2">
        <v>0</v>
      </c>
      <c r="X1788" s="2">
        <v>781</v>
      </c>
    </row>
    <row r="1789" spans="1:24" x14ac:dyDescent="0.25">
      <c r="G1789" s="2" t="s">
        <v>3032</v>
      </c>
    </row>
    <row r="1790" spans="1:24" x14ac:dyDescent="0.25">
      <c r="A1790" s="2">
        <v>892</v>
      </c>
      <c r="B1790" s="2">
        <v>11465</v>
      </c>
      <c r="C1790" s="2" t="s">
        <v>3033</v>
      </c>
      <c r="D1790" s="2" t="s">
        <v>56</v>
      </c>
      <c r="E1790" s="2" t="s">
        <v>165</v>
      </c>
      <c r="F1790" s="2" t="s">
        <v>3034</v>
      </c>
      <c r="G1790" s="2">
        <v>781</v>
      </c>
      <c r="H1790" s="2">
        <v>0</v>
      </c>
      <c r="I1790" s="2">
        <v>0</v>
      </c>
      <c r="J1790" s="2">
        <v>0</v>
      </c>
      <c r="K1790" s="2">
        <v>0</v>
      </c>
      <c r="L1790" s="2">
        <v>0</v>
      </c>
      <c r="M1790" s="2">
        <v>0</v>
      </c>
      <c r="N1790" s="2">
        <v>0</v>
      </c>
      <c r="O1790" s="2">
        <v>0</v>
      </c>
      <c r="P1790" s="2">
        <v>0</v>
      </c>
      <c r="Q1790" s="2">
        <v>0</v>
      </c>
      <c r="R1790" s="2">
        <v>0</v>
      </c>
      <c r="S1790" s="2">
        <v>0</v>
      </c>
      <c r="T1790" s="2">
        <v>0</v>
      </c>
      <c r="U1790" s="2">
        <v>0</v>
      </c>
      <c r="W1790" s="2">
        <v>1</v>
      </c>
      <c r="X1790" s="2">
        <v>781</v>
      </c>
    </row>
    <row r="1791" spans="1:24" x14ac:dyDescent="0.25">
      <c r="G1791" s="2" t="s">
        <v>3035</v>
      </c>
    </row>
    <row r="1792" spans="1:24" x14ac:dyDescent="0.25">
      <c r="A1792" s="2">
        <v>893</v>
      </c>
      <c r="B1792" s="2">
        <v>1930</v>
      </c>
      <c r="C1792" s="2" t="s">
        <v>3036</v>
      </c>
      <c r="D1792" s="2" t="s">
        <v>112</v>
      </c>
      <c r="E1792" s="2" t="s">
        <v>199</v>
      </c>
      <c r="F1792" s="2" t="s">
        <v>3037</v>
      </c>
      <c r="G1792" s="2">
        <v>730.4</v>
      </c>
      <c r="H1792" s="2">
        <v>0</v>
      </c>
      <c r="I1792" s="2">
        <v>0</v>
      </c>
      <c r="J1792" s="2">
        <v>0</v>
      </c>
      <c r="K1792" s="2">
        <v>0</v>
      </c>
      <c r="L1792" s="2">
        <v>0</v>
      </c>
      <c r="M1792" s="2">
        <v>50</v>
      </c>
      <c r="N1792" s="2">
        <v>0</v>
      </c>
      <c r="O1792" s="2">
        <v>0</v>
      </c>
      <c r="P1792" s="2">
        <v>0</v>
      </c>
      <c r="Q1792" s="2">
        <v>0</v>
      </c>
      <c r="R1792" s="2">
        <v>0</v>
      </c>
      <c r="S1792" s="2">
        <v>0</v>
      </c>
      <c r="T1792" s="2">
        <v>0</v>
      </c>
      <c r="U1792" s="2">
        <v>0</v>
      </c>
      <c r="W1792" s="2">
        <v>0</v>
      </c>
      <c r="X1792" s="2">
        <v>780.4</v>
      </c>
    </row>
    <row r="1793" spans="1:24" x14ac:dyDescent="0.25">
      <c r="G1793" s="2" t="s">
        <v>3038</v>
      </c>
    </row>
    <row r="1794" spans="1:24" x14ac:dyDescent="0.25">
      <c r="A1794" s="2">
        <v>894</v>
      </c>
      <c r="B1794" s="2">
        <v>8741</v>
      </c>
      <c r="C1794" s="2" t="s">
        <v>3039</v>
      </c>
      <c r="D1794" s="2" t="s">
        <v>78</v>
      </c>
      <c r="E1794" s="2" t="s">
        <v>118</v>
      </c>
      <c r="F1794" s="2" t="s">
        <v>3040</v>
      </c>
      <c r="G1794" s="2">
        <v>750.2</v>
      </c>
      <c r="H1794" s="2">
        <v>0</v>
      </c>
      <c r="I1794" s="2">
        <v>0</v>
      </c>
      <c r="J1794" s="2">
        <v>0</v>
      </c>
      <c r="K1794" s="2">
        <v>0</v>
      </c>
      <c r="L1794" s="2">
        <v>0</v>
      </c>
      <c r="M1794" s="2">
        <v>30</v>
      </c>
      <c r="N1794" s="2">
        <v>0</v>
      </c>
      <c r="O1794" s="2">
        <v>0</v>
      </c>
      <c r="P1794" s="2">
        <v>0</v>
      </c>
      <c r="Q1794" s="2">
        <v>0</v>
      </c>
      <c r="R1794" s="2">
        <v>0</v>
      </c>
      <c r="S1794" s="2">
        <v>0</v>
      </c>
      <c r="T1794" s="2">
        <v>0</v>
      </c>
      <c r="U1794" s="2">
        <v>0</v>
      </c>
      <c r="W1794" s="2">
        <v>0</v>
      </c>
      <c r="X1794" s="2">
        <v>780.2</v>
      </c>
    </row>
    <row r="1795" spans="1:24" x14ac:dyDescent="0.25">
      <c r="G1795" s="2" t="s">
        <v>3041</v>
      </c>
    </row>
    <row r="1796" spans="1:24" x14ac:dyDescent="0.25">
      <c r="A1796" s="2">
        <v>895</v>
      </c>
      <c r="B1796" s="2">
        <v>8696</v>
      </c>
      <c r="C1796" s="2" t="s">
        <v>3042</v>
      </c>
      <c r="D1796" s="2" t="s">
        <v>16</v>
      </c>
      <c r="E1796" s="2" t="s">
        <v>39</v>
      </c>
      <c r="F1796" s="2" t="s">
        <v>3043</v>
      </c>
      <c r="G1796" s="2">
        <v>779.9</v>
      </c>
      <c r="H1796" s="2">
        <v>0</v>
      </c>
      <c r="I1796" s="2">
        <v>0</v>
      </c>
      <c r="J1796" s="2">
        <v>0</v>
      </c>
      <c r="K1796" s="2">
        <v>0</v>
      </c>
      <c r="L1796" s="2">
        <v>0</v>
      </c>
      <c r="M1796" s="2">
        <v>0</v>
      </c>
      <c r="N1796" s="2">
        <v>0</v>
      </c>
      <c r="O1796" s="2">
        <v>0</v>
      </c>
      <c r="P1796" s="2">
        <v>0</v>
      </c>
      <c r="Q1796" s="2">
        <v>0</v>
      </c>
      <c r="R1796" s="2">
        <v>0</v>
      </c>
      <c r="S1796" s="2">
        <v>0</v>
      </c>
      <c r="T1796" s="2">
        <v>0</v>
      </c>
      <c r="U1796" s="2">
        <v>0</v>
      </c>
      <c r="W1796" s="2">
        <v>0</v>
      </c>
      <c r="X1796" s="2">
        <v>779.9</v>
      </c>
    </row>
    <row r="1797" spans="1:24" x14ac:dyDescent="0.25">
      <c r="G1797" s="2" t="s">
        <v>3044</v>
      </c>
    </row>
    <row r="1798" spans="1:24" x14ac:dyDescent="0.25">
      <c r="A1798" s="2">
        <v>896</v>
      </c>
      <c r="B1798" s="2">
        <v>4730</v>
      </c>
      <c r="C1798" s="2" t="s">
        <v>1926</v>
      </c>
      <c r="D1798" s="2" t="s">
        <v>235</v>
      </c>
      <c r="E1798" s="2" t="s">
        <v>39</v>
      </c>
      <c r="F1798" s="2" t="s">
        <v>3045</v>
      </c>
      <c r="G1798" s="2">
        <v>779.9</v>
      </c>
      <c r="H1798" s="2">
        <v>0</v>
      </c>
      <c r="I1798" s="2">
        <v>0</v>
      </c>
      <c r="J1798" s="2">
        <v>0</v>
      </c>
      <c r="K1798" s="2">
        <v>0</v>
      </c>
      <c r="L1798" s="2">
        <v>0</v>
      </c>
      <c r="M1798" s="2">
        <v>0</v>
      </c>
      <c r="N1798" s="2">
        <v>0</v>
      </c>
      <c r="O1798" s="2">
        <v>0</v>
      </c>
      <c r="P1798" s="2">
        <v>0</v>
      </c>
      <c r="Q1798" s="2">
        <v>0</v>
      </c>
      <c r="R1798" s="2">
        <v>0</v>
      </c>
      <c r="S1798" s="2">
        <v>0</v>
      </c>
      <c r="T1798" s="2">
        <v>0</v>
      </c>
      <c r="U1798" s="2">
        <v>0</v>
      </c>
      <c r="W1798" s="2">
        <v>0</v>
      </c>
      <c r="X1798" s="2">
        <v>779.9</v>
      </c>
    </row>
    <row r="1799" spans="1:24" x14ac:dyDescent="0.25">
      <c r="G1799" s="2" t="s">
        <v>3046</v>
      </c>
    </row>
    <row r="1800" spans="1:24" x14ac:dyDescent="0.25">
      <c r="A1800" s="2">
        <v>897</v>
      </c>
      <c r="B1800" s="2">
        <v>17393</v>
      </c>
      <c r="C1800" s="2" t="s">
        <v>3047</v>
      </c>
      <c r="D1800" s="2" t="s">
        <v>164</v>
      </c>
      <c r="E1800" s="2" t="s">
        <v>127</v>
      </c>
      <c r="F1800" s="2" t="s">
        <v>3048</v>
      </c>
      <c r="G1800" s="2">
        <v>779.9</v>
      </c>
      <c r="H1800" s="2">
        <v>0</v>
      </c>
      <c r="I1800" s="2">
        <v>0</v>
      </c>
      <c r="J1800" s="2">
        <v>0</v>
      </c>
      <c r="K1800" s="2">
        <v>0</v>
      </c>
      <c r="L1800" s="2">
        <v>0</v>
      </c>
      <c r="M1800" s="2">
        <v>0</v>
      </c>
      <c r="N1800" s="2">
        <v>0</v>
      </c>
      <c r="O1800" s="2">
        <v>0</v>
      </c>
      <c r="P1800" s="2">
        <v>0</v>
      </c>
      <c r="Q1800" s="2">
        <v>0</v>
      </c>
      <c r="R1800" s="2">
        <v>0</v>
      </c>
      <c r="S1800" s="2">
        <v>0</v>
      </c>
      <c r="T1800" s="2">
        <v>0</v>
      </c>
      <c r="U1800" s="2">
        <v>0</v>
      </c>
      <c r="W1800" s="2">
        <v>0</v>
      </c>
      <c r="X1800" s="2">
        <v>779.9</v>
      </c>
    </row>
    <row r="1801" spans="1:24" x14ac:dyDescent="0.25">
      <c r="G1801" s="2" t="s">
        <v>3049</v>
      </c>
    </row>
    <row r="1802" spans="1:24" x14ac:dyDescent="0.25">
      <c r="A1802" s="2">
        <v>898</v>
      </c>
      <c r="B1802" s="2">
        <v>8681</v>
      </c>
      <c r="C1802" s="2" t="s">
        <v>3050</v>
      </c>
      <c r="D1802" s="2" t="s">
        <v>67</v>
      </c>
      <c r="E1802" s="2" t="s">
        <v>16</v>
      </c>
      <c r="F1802" s="2" t="s">
        <v>3051</v>
      </c>
      <c r="G1802" s="2">
        <v>719.4</v>
      </c>
      <c r="H1802" s="2">
        <v>0</v>
      </c>
      <c r="I1802" s="2">
        <v>0</v>
      </c>
      <c r="J1802" s="2">
        <v>0</v>
      </c>
      <c r="K1802" s="2">
        <v>0</v>
      </c>
      <c r="L1802" s="2">
        <v>0</v>
      </c>
      <c r="M1802" s="2">
        <v>30</v>
      </c>
      <c r="N1802" s="2">
        <v>30</v>
      </c>
      <c r="O1802" s="2">
        <v>0</v>
      </c>
      <c r="P1802" s="2">
        <v>0</v>
      </c>
      <c r="Q1802" s="2">
        <v>0</v>
      </c>
      <c r="R1802" s="2">
        <v>0</v>
      </c>
      <c r="S1802" s="2">
        <v>0</v>
      </c>
      <c r="T1802" s="2">
        <v>0</v>
      </c>
      <c r="U1802" s="2">
        <v>0</v>
      </c>
      <c r="W1802" s="2">
        <v>0</v>
      </c>
      <c r="X1802" s="2">
        <v>779.4</v>
      </c>
    </row>
    <row r="1803" spans="1:24" x14ac:dyDescent="0.25">
      <c r="G1803" s="2" t="s">
        <v>602</v>
      </c>
    </row>
    <row r="1804" spans="1:24" x14ac:dyDescent="0.25">
      <c r="A1804" s="2">
        <v>899</v>
      </c>
      <c r="B1804" s="2">
        <v>15379</v>
      </c>
      <c r="C1804" s="2" t="s">
        <v>3052</v>
      </c>
      <c r="D1804" s="2" t="s">
        <v>170</v>
      </c>
      <c r="E1804" s="2" t="s">
        <v>39</v>
      </c>
      <c r="F1804" s="2" t="s">
        <v>3053</v>
      </c>
      <c r="G1804" s="2">
        <v>749.1</v>
      </c>
      <c r="H1804" s="2">
        <v>0</v>
      </c>
      <c r="I1804" s="2">
        <v>0</v>
      </c>
      <c r="J1804" s="2">
        <v>0</v>
      </c>
      <c r="K1804" s="2">
        <v>0</v>
      </c>
      <c r="L1804" s="2">
        <v>0</v>
      </c>
      <c r="M1804" s="2">
        <v>30</v>
      </c>
      <c r="N1804" s="2">
        <v>0</v>
      </c>
      <c r="O1804" s="2">
        <v>0</v>
      </c>
      <c r="P1804" s="2">
        <v>0</v>
      </c>
      <c r="Q1804" s="2">
        <v>0</v>
      </c>
      <c r="R1804" s="2">
        <v>0</v>
      </c>
      <c r="S1804" s="2">
        <v>0</v>
      </c>
      <c r="T1804" s="2">
        <v>0</v>
      </c>
      <c r="U1804" s="2">
        <v>0</v>
      </c>
      <c r="W1804" s="2">
        <v>0</v>
      </c>
      <c r="X1804" s="2">
        <v>779.1</v>
      </c>
    </row>
    <row r="1805" spans="1:24" x14ac:dyDescent="0.25">
      <c r="G1805" s="2" t="s">
        <v>3054</v>
      </c>
    </row>
    <row r="1806" spans="1:24" x14ac:dyDescent="0.25">
      <c r="A1806" s="2">
        <v>900</v>
      </c>
      <c r="B1806" s="2">
        <v>13637</v>
      </c>
      <c r="C1806" s="2" t="s">
        <v>3055</v>
      </c>
      <c r="D1806" s="2" t="s">
        <v>338</v>
      </c>
      <c r="E1806" s="2" t="s">
        <v>138</v>
      </c>
      <c r="F1806" s="2" t="s">
        <v>3056</v>
      </c>
      <c r="G1806" s="2">
        <v>778.8</v>
      </c>
      <c r="H1806" s="2">
        <v>0</v>
      </c>
      <c r="I1806" s="2">
        <v>0</v>
      </c>
      <c r="J1806" s="2">
        <v>0</v>
      </c>
      <c r="K1806" s="2">
        <v>0</v>
      </c>
      <c r="L1806" s="2">
        <v>0</v>
      </c>
      <c r="M1806" s="2">
        <v>0</v>
      </c>
      <c r="N1806" s="2">
        <v>0</v>
      </c>
      <c r="O1806" s="2">
        <v>0</v>
      </c>
      <c r="P1806" s="2">
        <v>0</v>
      </c>
      <c r="Q1806" s="2">
        <v>0</v>
      </c>
      <c r="R1806" s="2">
        <v>0</v>
      </c>
      <c r="S1806" s="2">
        <v>0</v>
      </c>
      <c r="T1806" s="2">
        <v>0</v>
      </c>
      <c r="U1806" s="2">
        <v>0</v>
      </c>
      <c r="W1806" s="2">
        <v>0</v>
      </c>
      <c r="X1806" s="2">
        <v>778.8</v>
      </c>
    </row>
    <row r="1807" spans="1:24" x14ac:dyDescent="0.25">
      <c r="G1807" s="2" t="s">
        <v>3057</v>
      </c>
    </row>
    <row r="1808" spans="1:24" x14ac:dyDescent="0.25">
      <c r="A1808" s="2">
        <v>901</v>
      </c>
      <c r="B1808" s="2">
        <v>6236</v>
      </c>
      <c r="C1808" s="2" t="s">
        <v>164</v>
      </c>
      <c r="D1808" s="2" t="s">
        <v>3058</v>
      </c>
      <c r="E1808" s="2" t="s">
        <v>194</v>
      </c>
      <c r="F1808" s="2" t="s">
        <v>3059</v>
      </c>
      <c r="G1808" s="2">
        <v>778.8</v>
      </c>
      <c r="H1808" s="2">
        <v>0</v>
      </c>
      <c r="I1808" s="2">
        <v>0</v>
      </c>
      <c r="J1808" s="2">
        <v>0</v>
      </c>
      <c r="K1808" s="2">
        <v>0</v>
      </c>
      <c r="L1808" s="2">
        <v>0</v>
      </c>
      <c r="M1808" s="2">
        <v>0</v>
      </c>
      <c r="N1808" s="2">
        <v>0</v>
      </c>
      <c r="O1808" s="2">
        <v>0</v>
      </c>
      <c r="P1808" s="2">
        <v>0</v>
      </c>
      <c r="Q1808" s="2">
        <v>0</v>
      </c>
      <c r="R1808" s="2">
        <v>0</v>
      </c>
      <c r="S1808" s="2">
        <v>0</v>
      </c>
      <c r="T1808" s="2">
        <v>0</v>
      </c>
      <c r="U1808" s="2">
        <v>0</v>
      </c>
      <c r="W1808" s="2">
        <v>0</v>
      </c>
      <c r="X1808" s="2">
        <v>778.8</v>
      </c>
    </row>
    <row r="1809" spans="1:24" x14ac:dyDescent="0.25">
      <c r="G1809" s="2" t="s">
        <v>3060</v>
      </c>
    </row>
    <row r="1810" spans="1:24" x14ac:dyDescent="0.25">
      <c r="A1810" s="2">
        <v>902</v>
      </c>
      <c r="B1810" s="2">
        <v>1593</v>
      </c>
      <c r="C1810" s="2" t="s">
        <v>3061</v>
      </c>
      <c r="D1810" s="2" t="s">
        <v>235</v>
      </c>
      <c r="E1810" s="2" t="s">
        <v>103</v>
      </c>
      <c r="F1810" s="2" t="s">
        <v>3062</v>
      </c>
      <c r="G1810" s="2">
        <v>748</v>
      </c>
      <c r="H1810" s="2">
        <v>0</v>
      </c>
      <c r="I1810" s="2">
        <v>0</v>
      </c>
      <c r="J1810" s="2">
        <v>0</v>
      </c>
      <c r="K1810" s="2">
        <v>0</v>
      </c>
      <c r="L1810" s="2">
        <v>0</v>
      </c>
      <c r="M1810" s="2">
        <v>30</v>
      </c>
      <c r="N1810" s="2">
        <v>0</v>
      </c>
      <c r="O1810" s="2">
        <v>0</v>
      </c>
      <c r="P1810" s="2">
        <v>0</v>
      </c>
      <c r="Q1810" s="2">
        <v>0</v>
      </c>
      <c r="R1810" s="2">
        <v>0</v>
      </c>
      <c r="S1810" s="2">
        <v>0</v>
      </c>
      <c r="T1810" s="2">
        <v>0</v>
      </c>
      <c r="U1810" s="2">
        <v>0</v>
      </c>
      <c r="W1810" s="2">
        <v>0</v>
      </c>
      <c r="X1810" s="2">
        <v>778</v>
      </c>
    </row>
    <row r="1811" spans="1:24" x14ac:dyDescent="0.25">
      <c r="G1811" s="2" t="s">
        <v>3063</v>
      </c>
    </row>
    <row r="1812" spans="1:24" x14ac:dyDescent="0.25">
      <c r="A1812" s="2">
        <v>903</v>
      </c>
      <c r="B1812" s="2">
        <v>3548</v>
      </c>
      <c r="C1812" s="2" t="s">
        <v>3064</v>
      </c>
      <c r="D1812" s="2" t="s">
        <v>50</v>
      </c>
      <c r="E1812" s="2" t="s">
        <v>194</v>
      </c>
      <c r="F1812" s="2" t="s">
        <v>3065</v>
      </c>
      <c r="G1812" s="2">
        <v>748</v>
      </c>
      <c r="H1812" s="2">
        <v>0</v>
      </c>
      <c r="I1812" s="2">
        <v>0</v>
      </c>
      <c r="J1812" s="2">
        <v>0</v>
      </c>
      <c r="K1812" s="2">
        <v>0</v>
      </c>
      <c r="L1812" s="2">
        <v>0</v>
      </c>
      <c r="M1812" s="2">
        <v>30</v>
      </c>
      <c r="N1812" s="2">
        <v>0</v>
      </c>
      <c r="O1812" s="2">
        <v>0</v>
      </c>
      <c r="P1812" s="2">
        <v>0</v>
      </c>
      <c r="Q1812" s="2">
        <v>0</v>
      </c>
      <c r="R1812" s="2">
        <v>0</v>
      </c>
      <c r="S1812" s="2">
        <v>0</v>
      </c>
      <c r="T1812" s="2">
        <v>0</v>
      </c>
      <c r="U1812" s="2">
        <v>0</v>
      </c>
      <c r="W1812" s="2">
        <v>0</v>
      </c>
      <c r="X1812" s="2">
        <v>778</v>
      </c>
    </row>
    <row r="1813" spans="1:24" x14ac:dyDescent="0.25">
      <c r="G1813" s="2" t="s">
        <v>3066</v>
      </c>
    </row>
    <row r="1814" spans="1:24" x14ac:dyDescent="0.25">
      <c r="A1814" s="2">
        <v>904</v>
      </c>
      <c r="B1814" s="2">
        <v>1214</v>
      </c>
      <c r="C1814" s="2" t="s">
        <v>421</v>
      </c>
      <c r="D1814" s="2" t="s">
        <v>3067</v>
      </c>
      <c r="E1814" s="2" t="s">
        <v>51</v>
      </c>
      <c r="F1814" s="2" t="s">
        <v>3068</v>
      </c>
      <c r="G1814" s="2">
        <v>777.7</v>
      </c>
      <c r="H1814" s="2">
        <v>0</v>
      </c>
      <c r="I1814" s="2">
        <v>0</v>
      </c>
      <c r="J1814" s="2">
        <v>0</v>
      </c>
      <c r="K1814" s="2">
        <v>0</v>
      </c>
      <c r="L1814" s="2">
        <v>0</v>
      </c>
      <c r="M1814" s="2">
        <v>0</v>
      </c>
      <c r="N1814" s="2">
        <v>0</v>
      </c>
      <c r="O1814" s="2">
        <v>0</v>
      </c>
      <c r="P1814" s="2">
        <v>0</v>
      </c>
      <c r="Q1814" s="2">
        <v>0</v>
      </c>
      <c r="R1814" s="2">
        <v>0</v>
      </c>
      <c r="S1814" s="2">
        <v>0</v>
      </c>
      <c r="T1814" s="2">
        <v>0</v>
      </c>
      <c r="U1814" s="2">
        <v>0</v>
      </c>
      <c r="W1814" s="2">
        <v>0</v>
      </c>
      <c r="X1814" s="2">
        <v>777.7</v>
      </c>
    </row>
    <row r="1815" spans="1:24" x14ac:dyDescent="0.25">
      <c r="G1815" s="2" t="s">
        <v>3069</v>
      </c>
    </row>
    <row r="1816" spans="1:24" x14ac:dyDescent="0.25">
      <c r="A1816" s="2">
        <v>905</v>
      </c>
      <c r="B1816" s="2">
        <v>12420</v>
      </c>
      <c r="C1816" s="2" t="s">
        <v>3070</v>
      </c>
      <c r="D1816" s="2" t="s">
        <v>3071</v>
      </c>
      <c r="E1816" s="2" t="s">
        <v>73</v>
      </c>
      <c r="F1816" s="2" t="s">
        <v>3072</v>
      </c>
      <c r="G1816" s="2">
        <v>777.7</v>
      </c>
      <c r="H1816" s="2">
        <v>0</v>
      </c>
      <c r="I1816" s="2">
        <v>0</v>
      </c>
      <c r="J1816" s="2">
        <v>0</v>
      </c>
      <c r="K1816" s="2">
        <v>0</v>
      </c>
      <c r="L1816" s="2">
        <v>0</v>
      </c>
      <c r="M1816" s="2">
        <v>0</v>
      </c>
      <c r="N1816" s="2">
        <v>0</v>
      </c>
      <c r="O1816" s="2">
        <v>0</v>
      </c>
      <c r="P1816" s="2">
        <v>0</v>
      </c>
      <c r="Q1816" s="2">
        <v>0</v>
      </c>
      <c r="R1816" s="2">
        <v>0</v>
      </c>
      <c r="S1816" s="2">
        <v>0</v>
      </c>
      <c r="T1816" s="2">
        <v>0</v>
      </c>
      <c r="U1816" s="2">
        <v>0</v>
      </c>
      <c r="W1816" s="2">
        <v>0</v>
      </c>
      <c r="X1816" s="2">
        <v>777.7</v>
      </c>
    </row>
    <row r="1817" spans="1:24" x14ac:dyDescent="0.25">
      <c r="G1817" s="2" t="s">
        <v>3073</v>
      </c>
    </row>
    <row r="1818" spans="1:24" x14ac:dyDescent="0.25">
      <c r="A1818" s="2">
        <v>906</v>
      </c>
      <c r="B1818" s="2">
        <v>998</v>
      </c>
      <c r="C1818" s="2" t="s">
        <v>3074</v>
      </c>
      <c r="D1818" s="2" t="s">
        <v>777</v>
      </c>
      <c r="E1818" s="2" t="s">
        <v>39</v>
      </c>
      <c r="F1818" s="2" t="s">
        <v>3075</v>
      </c>
      <c r="G1818" s="2">
        <v>746.9</v>
      </c>
      <c r="H1818" s="2">
        <v>0</v>
      </c>
      <c r="I1818" s="2">
        <v>0</v>
      </c>
      <c r="J1818" s="2">
        <v>0</v>
      </c>
      <c r="K1818" s="2">
        <v>0</v>
      </c>
      <c r="L1818" s="2">
        <v>0</v>
      </c>
      <c r="M1818" s="2">
        <v>30</v>
      </c>
      <c r="N1818" s="2">
        <v>0</v>
      </c>
      <c r="O1818" s="2">
        <v>0</v>
      </c>
      <c r="P1818" s="2">
        <v>0</v>
      </c>
      <c r="Q1818" s="2">
        <v>0</v>
      </c>
      <c r="R1818" s="2">
        <v>0</v>
      </c>
      <c r="S1818" s="2">
        <v>0</v>
      </c>
      <c r="T1818" s="2">
        <v>0</v>
      </c>
      <c r="U1818" s="2">
        <v>0</v>
      </c>
      <c r="W1818" s="2">
        <v>0</v>
      </c>
      <c r="X1818" s="2">
        <v>776.9</v>
      </c>
    </row>
    <row r="1819" spans="1:24" x14ac:dyDescent="0.25">
      <c r="G1819" s="2" t="s">
        <v>2363</v>
      </c>
    </row>
    <row r="1820" spans="1:24" x14ac:dyDescent="0.25">
      <c r="A1820" s="2">
        <v>907</v>
      </c>
      <c r="B1820" s="2">
        <v>15498</v>
      </c>
      <c r="C1820" s="2" t="s">
        <v>1078</v>
      </c>
      <c r="D1820" s="2" t="s">
        <v>777</v>
      </c>
      <c r="E1820" s="2" t="s">
        <v>148</v>
      </c>
      <c r="F1820" s="2" t="s">
        <v>3076</v>
      </c>
      <c r="G1820" s="2">
        <v>746.9</v>
      </c>
      <c r="H1820" s="2">
        <v>0</v>
      </c>
      <c r="I1820" s="2">
        <v>0</v>
      </c>
      <c r="J1820" s="2">
        <v>0</v>
      </c>
      <c r="K1820" s="2">
        <v>0</v>
      </c>
      <c r="L1820" s="2">
        <v>0</v>
      </c>
      <c r="M1820" s="2">
        <v>30</v>
      </c>
      <c r="N1820" s="2">
        <v>0</v>
      </c>
      <c r="O1820" s="2">
        <v>0</v>
      </c>
      <c r="P1820" s="2">
        <v>0</v>
      </c>
      <c r="Q1820" s="2">
        <v>0</v>
      </c>
      <c r="R1820" s="2">
        <v>0</v>
      </c>
      <c r="S1820" s="2">
        <v>0</v>
      </c>
      <c r="T1820" s="2">
        <v>0</v>
      </c>
      <c r="U1820" s="2">
        <v>0</v>
      </c>
      <c r="W1820" s="2">
        <v>0</v>
      </c>
      <c r="X1820" s="2">
        <v>776.9</v>
      </c>
    </row>
    <row r="1821" spans="1:24" x14ac:dyDescent="0.25">
      <c r="G1821" s="2" t="s">
        <v>3077</v>
      </c>
    </row>
    <row r="1822" spans="1:24" x14ac:dyDescent="0.25">
      <c r="A1822" s="2">
        <v>908</v>
      </c>
      <c r="B1822" s="2">
        <v>16182</v>
      </c>
      <c r="C1822" s="2" t="s">
        <v>3078</v>
      </c>
      <c r="D1822" s="2" t="s">
        <v>89</v>
      </c>
      <c r="E1822" s="2" t="s">
        <v>3079</v>
      </c>
      <c r="F1822" s="2" t="s">
        <v>3080</v>
      </c>
      <c r="G1822" s="2">
        <v>746.9</v>
      </c>
      <c r="H1822" s="2">
        <v>0</v>
      </c>
      <c r="I1822" s="2">
        <v>0</v>
      </c>
      <c r="J1822" s="2">
        <v>0</v>
      </c>
      <c r="K1822" s="2">
        <v>0</v>
      </c>
      <c r="L1822" s="2">
        <v>0</v>
      </c>
      <c r="M1822" s="2">
        <v>30</v>
      </c>
      <c r="N1822" s="2">
        <v>0</v>
      </c>
      <c r="O1822" s="2">
        <v>0</v>
      </c>
      <c r="P1822" s="2">
        <v>0</v>
      </c>
      <c r="Q1822" s="2">
        <v>0</v>
      </c>
      <c r="R1822" s="2">
        <v>0</v>
      </c>
      <c r="S1822" s="2">
        <v>0</v>
      </c>
      <c r="T1822" s="2">
        <v>0</v>
      </c>
      <c r="U1822" s="2">
        <v>0</v>
      </c>
      <c r="W1822" s="2">
        <v>2</v>
      </c>
      <c r="X1822" s="2">
        <v>776.9</v>
      </c>
    </row>
    <row r="1823" spans="1:24" x14ac:dyDescent="0.25">
      <c r="G1823" s="2" t="s">
        <v>3081</v>
      </c>
    </row>
    <row r="1824" spans="1:24" x14ac:dyDescent="0.25">
      <c r="A1824" s="2">
        <v>909</v>
      </c>
      <c r="B1824" s="2">
        <v>6446</v>
      </c>
      <c r="C1824" s="2" t="s">
        <v>3082</v>
      </c>
      <c r="D1824" s="2" t="s">
        <v>56</v>
      </c>
      <c r="E1824" s="2" t="s">
        <v>148</v>
      </c>
      <c r="F1824" s="2" t="s">
        <v>3083</v>
      </c>
      <c r="G1824" s="2">
        <v>745.8</v>
      </c>
      <c r="H1824" s="2">
        <v>0</v>
      </c>
      <c r="I1824" s="2">
        <v>0</v>
      </c>
      <c r="J1824" s="2">
        <v>0</v>
      </c>
      <c r="K1824" s="2">
        <v>0</v>
      </c>
      <c r="L1824" s="2">
        <v>0</v>
      </c>
      <c r="M1824" s="2">
        <v>30</v>
      </c>
      <c r="N1824" s="2">
        <v>0</v>
      </c>
      <c r="O1824" s="2">
        <v>0</v>
      </c>
      <c r="P1824" s="2">
        <v>0</v>
      </c>
      <c r="Q1824" s="2">
        <v>0</v>
      </c>
      <c r="R1824" s="2">
        <v>0</v>
      </c>
      <c r="S1824" s="2">
        <v>0</v>
      </c>
      <c r="T1824" s="2">
        <v>0</v>
      </c>
      <c r="U1824" s="2">
        <v>0</v>
      </c>
      <c r="W1824" s="2">
        <v>0</v>
      </c>
      <c r="X1824" s="2">
        <v>775.8</v>
      </c>
    </row>
    <row r="1825" spans="1:24" x14ac:dyDescent="0.25">
      <c r="G1825" s="2" t="s">
        <v>3084</v>
      </c>
    </row>
    <row r="1826" spans="1:24" x14ac:dyDescent="0.25">
      <c r="A1826" s="2">
        <v>910</v>
      </c>
      <c r="B1826" s="2">
        <v>3560</v>
      </c>
      <c r="C1826" s="2" t="s">
        <v>3085</v>
      </c>
      <c r="D1826" s="2" t="s">
        <v>127</v>
      </c>
      <c r="E1826" s="2" t="s">
        <v>126</v>
      </c>
      <c r="F1826" s="2" t="s">
        <v>3086</v>
      </c>
      <c r="G1826" s="2">
        <v>775.5</v>
      </c>
      <c r="H1826" s="2">
        <v>0</v>
      </c>
      <c r="I1826" s="2">
        <v>0</v>
      </c>
      <c r="J1826" s="2">
        <v>0</v>
      </c>
      <c r="K1826" s="2">
        <v>0</v>
      </c>
      <c r="L1826" s="2">
        <v>0</v>
      </c>
      <c r="M1826" s="2">
        <v>0</v>
      </c>
      <c r="N1826" s="2">
        <v>0</v>
      </c>
      <c r="O1826" s="2">
        <v>0</v>
      </c>
      <c r="P1826" s="2">
        <v>0</v>
      </c>
      <c r="Q1826" s="2">
        <v>0</v>
      </c>
      <c r="R1826" s="2">
        <v>0</v>
      </c>
      <c r="S1826" s="2">
        <v>0</v>
      </c>
      <c r="T1826" s="2">
        <v>0</v>
      </c>
      <c r="U1826" s="2">
        <v>0</v>
      </c>
      <c r="W1826" s="2">
        <v>0</v>
      </c>
      <c r="X1826" s="2">
        <v>775.5</v>
      </c>
    </row>
    <row r="1827" spans="1:24" x14ac:dyDescent="0.25">
      <c r="G1827" s="2" t="s">
        <v>3087</v>
      </c>
    </row>
    <row r="1828" spans="1:24" x14ac:dyDescent="0.25">
      <c r="A1828" s="2">
        <v>911</v>
      </c>
      <c r="B1828" s="2">
        <v>2299</v>
      </c>
      <c r="C1828" s="2" t="s">
        <v>3089</v>
      </c>
      <c r="D1828" s="2" t="s">
        <v>410</v>
      </c>
      <c r="E1828" s="2" t="s">
        <v>90</v>
      </c>
      <c r="F1828" s="2" t="s">
        <v>3090</v>
      </c>
      <c r="G1828" s="2">
        <v>775.5</v>
      </c>
      <c r="H1828" s="2">
        <v>0</v>
      </c>
      <c r="I1828" s="2">
        <v>0</v>
      </c>
      <c r="J1828" s="2">
        <v>0</v>
      </c>
      <c r="K1828" s="2">
        <v>0</v>
      </c>
      <c r="L1828" s="2">
        <v>0</v>
      </c>
      <c r="M1828" s="2">
        <v>0</v>
      </c>
      <c r="N1828" s="2">
        <v>0</v>
      </c>
      <c r="O1828" s="2">
        <v>0</v>
      </c>
      <c r="P1828" s="2">
        <v>0</v>
      </c>
      <c r="Q1828" s="2">
        <v>0</v>
      </c>
      <c r="R1828" s="2">
        <v>0</v>
      </c>
      <c r="S1828" s="2">
        <v>0</v>
      </c>
      <c r="T1828" s="2">
        <v>0</v>
      </c>
      <c r="U1828" s="2">
        <v>0</v>
      </c>
      <c r="W1828" s="2">
        <v>0</v>
      </c>
      <c r="X1828" s="2">
        <v>775.5</v>
      </c>
    </row>
    <row r="1829" spans="1:24" x14ac:dyDescent="0.25">
      <c r="G1829" s="2" t="s">
        <v>3091</v>
      </c>
    </row>
    <row r="1830" spans="1:24" x14ac:dyDescent="0.25">
      <c r="A1830" s="2">
        <v>912</v>
      </c>
      <c r="B1830" s="2">
        <v>9156</v>
      </c>
      <c r="C1830" s="2" t="s">
        <v>3092</v>
      </c>
      <c r="D1830" s="2" t="s">
        <v>395</v>
      </c>
      <c r="E1830" s="2" t="s">
        <v>3093</v>
      </c>
      <c r="F1830" s="2" t="s">
        <v>3094</v>
      </c>
      <c r="G1830" s="2">
        <v>774.4</v>
      </c>
      <c r="H1830" s="2">
        <v>0</v>
      </c>
      <c r="I1830" s="2">
        <v>0</v>
      </c>
      <c r="J1830" s="2">
        <v>0</v>
      </c>
      <c r="K1830" s="2">
        <v>0</v>
      </c>
      <c r="L1830" s="2">
        <v>0</v>
      </c>
      <c r="M1830" s="2">
        <v>0</v>
      </c>
      <c r="N1830" s="2">
        <v>0</v>
      </c>
      <c r="O1830" s="2">
        <v>0</v>
      </c>
      <c r="P1830" s="2">
        <v>0</v>
      </c>
      <c r="Q1830" s="2">
        <v>0</v>
      </c>
      <c r="R1830" s="2">
        <v>0</v>
      </c>
      <c r="S1830" s="2">
        <v>0</v>
      </c>
      <c r="T1830" s="2">
        <v>0</v>
      </c>
      <c r="U1830" s="2">
        <v>0</v>
      </c>
      <c r="W1830" s="2">
        <v>0</v>
      </c>
      <c r="X1830" s="2">
        <v>774.4</v>
      </c>
    </row>
    <row r="1831" spans="1:24" x14ac:dyDescent="0.25">
      <c r="G1831" s="2" t="s">
        <v>3095</v>
      </c>
    </row>
    <row r="1832" spans="1:24" x14ac:dyDescent="0.25">
      <c r="A1832" s="2">
        <v>913</v>
      </c>
      <c r="B1832" s="2">
        <v>3774</v>
      </c>
      <c r="C1832" s="2" t="s">
        <v>3096</v>
      </c>
      <c r="D1832" s="2" t="s">
        <v>90</v>
      </c>
      <c r="E1832" s="2" t="s">
        <v>2201</v>
      </c>
      <c r="F1832" s="2" t="s">
        <v>3097</v>
      </c>
      <c r="G1832" s="2">
        <v>713.9</v>
      </c>
      <c r="H1832" s="2">
        <v>0</v>
      </c>
      <c r="I1832" s="2">
        <v>0</v>
      </c>
      <c r="J1832" s="2">
        <v>0</v>
      </c>
      <c r="K1832" s="2">
        <v>0</v>
      </c>
      <c r="L1832" s="2">
        <v>0</v>
      </c>
      <c r="M1832" s="2">
        <v>30</v>
      </c>
      <c r="N1832" s="2">
        <v>0</v>
      </c>
      <c r="O1832" s="2">
        <v>30</v>
      </c>
      <c r="P1832" s="2">
        <v>0</v>
      </c>
      <c r="Q1832" s="2">
        <v>0</v>
      </c>
      <c r="R1832" s="2">
        <v>0</v>
      </c>
      <c r="S1832" s="2">
        <v>0</v>
      </c>
      <c r="T1832" s="2">
        <v>0</v>
      </c>
      <c r="U1832" s="2">
        <v>0</v>
      </c>
      <c r="W1832" s="2">
        <v>0</v>
      </c>
      <c r="X1832" s="2">
        <v>773.9</v>
      </c>
    </row>
    <row r="1833" spans="1:24" x14ac:dyDescent="0.25">
      <c r="G1833" s="2" t="s">
        <v>3098</v>
      </c>
    </row>
    <row r="1834" spans="1:24" x14ac:dyDescent="0.25">
      <c r="A1834" s="2">
        <v>914</v>
      </c>
      <c r="B1834" s="2">
        <v>8126</v>
      </c>
      <c r="C1834" s="2" t="s">
        <v>142</v>
      </c>
      <c r="D1834" s="2" t="s">
        <v>3099</v>
      </c>
      <c r="E1834" s="2" t="s">
        <v>39</v>
      </c>
      <c r="F1834" s="2" t="s">
        <v>3100</v>
      </c>
      <c r="G1834" s="2">
        <v>743.6</v>
      </c>
      <c r="H1834" s="2">
        <v>0</v>
      </c>
      <c r="I1834" s="2">
        <v>0</v>
      </c>
      <c r="J1834" s="2">
        <v>0</v>
      </c>
      <c r="K1834" s="2">
        <v>0</v>
      </c>
      <c r="L1834" s="2">
        <v>0</v>
      </c>
      <c r="M1834" s="2">
        <v>30</v>
      </c>
      <c r="N1834" s="2">
        <v>0</v>
      </c>
      <c r="O1834" s="2">
        <v>0</v>
      </c>
      <c r="P1834" s="2">
        <v>0</v>
      </c>
      <c r="Q1834" s="2">
        <v>0</v>
      </c>
      <c r="R1834" s="2">
        <v>0</v>
      </c>
      <c r="S1834" s="2">
        <v>0</v>
      </c>
      <c r="T1834" s="2">
        <v>0</v>
      </c>
      <c r="U1834" s="2">
        <v>0</v>
      </c>
      <c r="W1834" s="2">
        <v>0</v>
      </c>
      <c r="X1834" s="2">
        <v>773.6</v>
      </c>
    </row>
    <row r="1835" spans="1:24" x14ac:dyDescent="0.25">
      <c r="G1835" s="2" t="s">
        <v>3101</v>
      </c>
    </row>
    <row r="1836" spans="1:24" x14ac:dyDescent="0.25">
      <c r="A1836" s="2">
        <v>915</v>
      </c>
      <c r="B1836" s="2">
        <v>5510</v>
      </c>
      <c r="C1836" s="2" t="s">
        <v>3102</v>
      </c>
      <c r="D1836" s="2" t="s">
        <v>268</v>
      </c>
      <c r="E1836" s="2" t="s">
        <v>204</v>
      </c>
      <c r="F1836" s="2" t="s">
        <v>3103</v>
      </c>
      <c r="G1836" s="2">
        <v>773.3</v>
      </c>
      <c r="H1836" s="2">
        <v>0</v>
      </c>
      <c r="I1836" s="2">
        <v>0</v>
      </c>
      <c r="J1836" s="2">
        <v>0</v>
      </c>
      <c r="K1836" s="2">
        <v>0</v>
      </c>
      <c r="L1836" s="2">
        <v>0</v>
      </c>
      <c r="M1836" s="2">
        <v>0</v>
      </c>
      <c r="N1836" s="2">
        <v>0</v>
      </c>
      <c r="O1836" s="2">
        <v>0</v>
      </c>
      <c r="P1836" s="2">
        <v>0</v>
      </c>
      <c r="Q1836" s="2">
        <v>0</v>
      </c>
      <c r="R1836" s="2">
        <v>0</v>
      </c>
      <c r="S1836" s="2">
        <v>0</v>
      </c>
      <c r="T1836" s="2">
        <v>0</v>
      </c>
      <c r="U1836" s="2">
        <v>0</v>
      </c>
      <c r="W1836" s="2">
        <v>0</v>
      </c>
      <c r="X1836" s="2">
        <v>773.3</v>
      </c>
    </row>
    <row r="1837" spans="1:24" x14ac:dyDescent="0.25">
      <c r="G1837" s="2" t="s">
        <v>3104</v>
      </c>
    </row>
    <row r="1838" spans="1:24" x14ac:dyDescent="0.25">
      <c r="A1838" s="2">
        <v>916</v>
      </c>
      <c r="B1838" s="2">
        <v>11704</v>
      </c>
      <c r="C1838" s="2" t="s">
        <v>3105</v>
      </c>
      <c r="D1838" s="2" t="s">
        <v>112</v>
      </c>
      <c r="E1838" s="2" t="s">
        <v>3106</v>
      </c>
      <c r="F1838" s="2" t="s">
        <v>3107</v>
      </c>
      <c r="G1838" s="2">
        <v>742.5</v>
      </c>
      <c r="H1838" s="2">
        <v>0</v>
      </c>
      <c r="I1838" s="2">
        <v>0</v>
      </c>
      <c r="J1838" s="2">
        <v>0</v>
      </c>
      <c r="K1838" s="2">
        <v>0</v>
      </c>
      <c r="L1838" s="2">
        <v>0</v>
      </c>
      <c r="M1838" s="2">
        <v>30</v>
      </c>
      <c r="N1838" s="2">
        <v>0</v>
      </c>
      <c r="O1838" s="2">
        <v>0</v>
      </c>
      <c r="P1838" s="2">
        <v>0</v>
      </c>
      <c r="Q1838" s="2">
        <v>0</v>
      </c>
      <c r="R1838" s="2">
        <v>0</v>
      </c>
      <c r="S1838" s="2">
        <v>0</v>
      </c>
      <c r="T1838" s="2">
        <v>0</v>
      </c>
      <c r="U1838" s="2">
        <v>0</v>
      </c>
      <c r="W1838" s="2">
        <v>0</v>
      </c>
      <c r="X1838" s="2">
        <v>772.5</v>
      </c>
    </row>
    <row r="1839" spans="1:24" x14ac:dyDescent="0.25">
      <c r="G1839" s="2" t="s">
        <v>3108</v>
      </c>
    </row>
    <row r="1840" spans="1:24" x14ac:dyDescent="0.25">
      <c r="A1840" s="2">
        <v>917</v>
      </c>
      <c r="B1840" s="2">
        <v>11849</v>
      </c>
      <c r="C1840" s="2" t="s">
        <v>2623</v>
      </c>
      <c r="D1840" s="2" t="s">
        <v>113</v>
      </c>
      <c r="E1840" s="2" t="s">
        <v>16</v>
      </c>
      <c r="F1840" s="2" t="s">
        <v>3109</v>
      </c>
      <c r="G1840" s="2">
        <v>772.2</v>
      </c>
      <c r="H1840" s="2">
        <v>0</v>
      </c>
      <c r="I1840" s="2">
        <v>0</v>
      </c>
      <c r="J1840" s="2">
        <v>0</v>
      </c>
      <c r="K1840" s="2">
        <v>0</v>
      </c>
      <c r="L1840" s="2">
        <v>0</v>
      </c>
      <c r="M1840" s="2">
        <v>0</v>
      </c>
      <c r="N1840" s="2">
        <v>0</v>
      </c>
      <c r="O1840" s="2">
        <v>0</v>
      </c>
      <c r="P1840" s="2">
        <v>0</v>
      </c>
      <c r="Q1840" s="2">
        <v>0</v>
      </c>
      <c r="R1840" s="2">
        <v>0</v>
      </c>
      <c r="S1840" s="2">
        <v>0</v>
      </c>
      <c r="T1840" s="2">
        <v>0</v>
      </c>
      <c r="U1840" s="2">
        <v>0</v>
      </c>
      <c r="W1840" s="2">
        <v>0</v>
      </c>
      <c r="X1840" s="2">
        <v>772.2</v>
      </c>
    </row>
    <row r="1841" spans="1:24" x14ac:dyDescent="0.25">
      <c r="G1841" s="2" t="s">
        <v>3110</v>
      </c>
    </row>
    <row r="1842" spans="1:24" x14ac:dyDescent="0.25">
      <c r="A1842" s="2">
        <v>918</v>
      </c>
      <c r="B1842" s="2">
        <v>2175</v>
      </c>
      <c r="C1842" s="2" t="s">
        <v>3111</v>
      </c>
      <c r="D1842" s="2" t="s">
        <v>842</v>
      </c>
      <c r="E1842" s="2" t="s">
        <v>51</v>
      </c>
      <c r="F1842" s="2" t="s">
        <v>3112</v>
      </c>
      <c r="G1842" s="2">
        <v>741.4</v>
      </c>
      <c r="H1842" s="2">
        <v>0</v>
      </c>
      <c r="I1842" s="2">
        <v>0</v>
      </c>
      <c r="J1842" s="2">
        <v>0</v>
      </c>
      <c r="K1842" s="2">
        <v>0</v>
      </c>
      <c r="L1842" s="2">
        <v>0</v>
      </c>
      <c r="M1842" s="2">
        <v>30</v>
      </c>
      <c r="N1842" s="2">
        <v>0</v>
      </c>
      <c r="O1842" s="2">
        <v>0</v>
      </c>
      <c r="P1842" s="2">
        <v>0</v>
      </c>
      <c r="Q1842" s="2">
        <v>0</v>
      </c>
      <c r="R1842" s="2">
        <v>0</v>
      </c>
      <c r="S1842" s="2">
        <v>0</v>
      </c>
      <c r="T1842" s="2">
        <v>0</v>
      </c>
      <c r="U1842" s="2">
        <v>0</v>
      </c>
      <c r="W1842" s="2">
        <v>2</v>
      </c>
      <c r="X1842" s="2">
        <v>771.4</v>
      </c>
    </row>
    <row r="1843" spans="1:24" x14ac:dyDescent="0.25">
      <c r="G1843" s="2" t="s">
        <v>3113</v>
      </c>
    </row>
    <row r="1844" spans="1:24" x14ac:dyDescent="0.25">
      <c r="A1844" s="2">
        <v>919</v>
      </c>
      <c r="B1844" s="2">
        <v>9849</v>
      </c>
      <c r="C1844" s="2" t="s">
        <v>3114</v>
      </c>
      <c r="D1844" s="2" t="s">
        <v>89</v>
      </c>
      <c r="E1844" s="2" t="s">
        <v>290</v>
      </c>
      <c r="F1844" s="2" t="s">
        <v>3115</v>
      </c>
      <c r="G1844" s="2">
        <v>770</v>
      </c>
      <c r="H1844" s="2">
        <v>0</v>
      </c>
      <c r="I1844" s="2">
        <v>0</v>
      </c>
      <c r="J1844" s="2">
        <v>0</v>
      </c>
      <c r="K1844" s="2">
        <v>0</v>
      </c>
      <c r="L1844" s="2">
        <v>0</v>
      </c>
      <c r="M1844" s="2">
        <v>0</v>
      </c>
      <c r="N1844" s="2">
        <v>0</v>
      </c>
      <c r="O1844" s="2">
        <v>0</v>
      </c>
      <c r="P1844" s="2">
        <v>0</v>
      </c>
      <c r="Q1844" s="2">
        <v>0</v>
      </c>
      <c r="R1844" s="2">
        <v>0</v>
      </c>
      <c r="S1844" s="2">
        <v>0</v>
      </c>
      <c r="T1844" s="2">
        <v>0</v>
      </c>
      <c r="U1844" s="2">
        <v>0</v>
      </c>
      <c r="W1844" s="2">
        <v>0</v>
      </c>
      <c r="X1844" s="2">
        <v>770</v>
      </c>
    </row>
    <row r="1845" spans="1:24" x14ac:dyDescent="0.25">
      <c r="G1845" s="2" t="s">
        <v>3116</v>
      </c>
    </row>
    <row r="1846" spans="1:24" x14ac:dyDescent="0.25">
      <c r="A1846" s="2">
        <v>920</v>
      </c>
      <c r="B1846" s="2">
        <v>1866</v>
      </c>
      <c r="C1846" s="2" t="s">
        <v>3117</v>
      </c>
      <c r="D1846" s="2" t="s">
        <v>3118</v>
      </c>
      <c r="E1846" s="2" t="s">
        <v>90</v>
      </c>
      <c r="F1846" s="2" t="s">
        <v>3119</v>
      </c>
      <c r="G1846" s="2">
        <v>739.2</v>
      </c>
      <c r="H1846" s="2">
        <v>0</v>
      </c>
      <c r="I1846" s="2">
        <v>0</v>
      </c>
      <c r="J1846" s="2">
        <v>0</v>
      </c>
      <c r="K1846" s="2">
        <v>0</v>
      </c>
      <c r="L1846" s="2">
        <v>0</v>
      </c>
      <c r="M1846" s="2">
        <v>30</v>
      </c>
      <c r="N1846" s="2">
        <v>0</v>
      </c>
      <c r="O1846" s="2">
        <v>0</v>
      </c>
      <c r="P1846" s="2">
        <v>0</v>
      </c>
      <c r="Q1846" s="2">
        <v>0</v>
      </c>
      <c r="R1846" s="2">
        <v>0</v>
      </c>
      <c r="S1846" s="2">
        <v>0</v>
      </c>
      <c r="T1846" s="2">
        <v>0</v>
      </c>
      <c r="U1846" s="2">
        <v>0</v>
      </c>
      <c r="W1846" s="2">
        <v>0</v>
      </c>
      <c r="X1846" s="2">
        <v>769.2</v>
      </c>
    </row>
    <row r="1847" spans="1:24" x14ac:dyDescent="0.25">
      <c r="G1847" s="2" t="s">
        <v>3120</v>
      </c>
    </row>
    <row r="1848" spans="1:24" x14ac:dyDescent="0.25">
      <c r="A1848" s="2">
        <v>921</v>
      </c>
      <c r="B1848" s="2">
        <v>13740</v>
      </c>
      <c r="C1848" s="2" t="s">
        <v>3122</v>
      </c>
      <c r="D1848" s="2" t="s">
        <v>3123</v>
      </c>
      <c r="E1848" s="2" t="s">
        <v>39</v>
      </c>
      <c r="F1848" s="2" t="s">
        <v>3124</v>
      </c>
      <c r="G1848" s="2">
        <v>768.9</v>
      </c>
      <c r="H1848" s="2">
        <v>0</v>
      </c>
      <c r="I1848" s="2">
        <v>0</v>
      </c>
      <c r="J1848" s="2">
        <v>0</v>
      </c>
      <c r="K1848" s="2">
        <v>0</v>
      </c>
      <c r="L1848" s="2">
        <v>0</v>
      </c>
      <c r="M1848" s="2">
        <v>0</v>
      </c>
      <c r="N1848" s="2">
        <v>0</v>
      </c>
      <c r="O1848" s="2">
        <v>0</v>
      </c>
      <c r="P1848" s="2">
        <v>0</v>
      </c>
      <c r="Q1848" s="2">
        <v>0</v>
      </c>
      <c r="R1848" s="2">
        <v>0</v>
      </c>
      <c r="S1848" s="2">
        <v>0</v>
      </c>
      <c r="T1848" s="2">
        <v>0</v>
      </c>
      <c r="U1848" s="2">
        <v>0</v>
      </c>
      <c r="W1848" s="2">
        <v>0</v>
      </c>
      <c r="X1848" s="2">
        <v>768.9</v>
      </c>
    </row>
    <row r="1849" spans="1:24" x14ac:dyDescent="0.25">
      <c r="G1849" s="2" t="s">
        <v>3125</v>
      </c>
    </row>
    <row r="1850" spans="1:24" x14ac:dyDescent="0.25">
      <c r="A1850" s="2">
        <v>922</v>
      </c>
      <c r="B1850" s="2">
        <v>9100</v>
      </c>
      <c r="C1850" s="2" t="s">
        <v>3126</v>
      </c>
      <c r="D1850" s="2" t="s">
        <v>406</v>
      </c>
      <c r="E1850" s="2" t="s">
        <v>148</v>
      </c>
      <c r="F1850" s="2" t="s">
        <v>3127</v>
      </c>
      <c r="G1850" s="2">
        <v>738.1</v>
      </c>
      <c r="H1850" s="2">
        <v>0</v>
      </c>
      <c r="I1850" s="2">
        <v>0</v>
      </c>
      <c r="J1850" s="2">
        <v>0</v>
      </c>
      <c r="K1850" s="2">
        <v>0</v>
      </c>
      <c r="L1850" s="2">
        <v>0</v>
      </c>
      <c r="M1850" s="2">
        <v>30</v>
      </c>
      <c r="N1850" s="2">
        <v>0</v>
      </c>
      <c r="O1850" s="2">
        <v>0</v>
      </c>
      <c r="P1850" s="2">
        <v>0</v>
      </c>
      <c r="Q1850" s="2">
        <v>0</v>
      </c>
      <c r="R1850" s="2">
        <v>0</v>
      </c>
      <c r="S1850" s="2">
        <v>0</v>
      </c>
      <c r="T1850" s="2">
        <v>0</v>
      </c>
      <c r="U1850" s="2">
        <v>0</v>
      </c>
      <c r="W1850" s="2">
        <v>0</v>
      </c>
      <c r="X1850" s="2">
        <v>768.1</v>
      </c>
    </row>
    <row r="1851" spans="1:24" x14ac:dyDescent="0.25">
      <c r="G1851" s="2" t="s">
        <v>3128</v>
      </c>
    </row>
    <row r="1852" spans="1:24" x14ac:dyDescent="0.25">
      <c r="A1852" s="2">
        <v>923</v>
      </c>
      <c r="B1852" s="2">
        <v>11727</v>
      </c>
      <c r="C1852" s="2" t="s">
        <v>3129</v>
      </c>
      <c r="D1852" s="2" t="s">
        <v>56</v>
      </c>
      <c r="E1852" s="2" t="s">
        <v>127</v>
      </c>
      <c r="F1852" s="2" t="s">
        <v>3130</v>
      </c>
      <c r="G1852" s="2">
        <v>767.8</v>
      </c>
      <c r="H1852" s="2">
        <v>0</v>
      </c>
      <c r="I1852" s="2">
        <v>0</v>
      </c>
      <c r="J1852" s="2">
        <v>0</v>
      </c>
      <c r="K1852" s="2">
        <v>0</v>
      </c>
      <c r="L1852" s="2">
        <v>0</v>
      </c>
      <c r="M1852" s="2">
        <v>0</v>
      </c>
      <c r="N1852" s="2">
        <v>0</v>
      </c>
      <c r="O1852" s="2">
        <v>0</v>
      </c>
      <c r="P1852" s="2">
        <v>0</v>
      </c>
      <c r="Q1852" s="2">
        <v>0</v>
      </c>
      <c r="R1852" s="2">
        <v>0</v>
      </c>
      <c r="S1852" s="2">
        <v>0</v>
      </c>
      <c r="T1852" s="2">
        <v>0</v>
      </c>
      <c r="U1852" s="2">
        <v>0</v>
      </c>
      <c r="W1852" s="2">
        <v>0</v>
      </c>
      <c r="X1852" s="2">
        <v>767.8</v>
      </c>
    </row>
    <row r="1853" spans="1:24" x14ac:dyDescent="0.25">
      <c r="G1853" s="2" t="s">
        <v>3131</v>
      </c>
    </row>
    <row r="1854" spans="1:24" x14ac:dyDescent="0.25">
      <c r="A1854" s="2">
        <v>924</v>
      </c>
      <c r="B1854" s="2">
        <v>14391</v>
      </c>
      <c r="C1854" s="2" t="s">
        <v>3132</v>
      </c>
      <c r="D1854" s="2" t="s">
        <v>164</v>
      </c>
      <c r="E1854" s="2" t="s">
        <v>3133</v>
      </c>
      <c r="F1854" s="2" t="s">
        <v>3134</v>
      </c>
      <c r="G1854" s="2">
        <v>707.3</v>
      </c>
      <c r="H1854" s="2">
        <v>0</v>
      </c>
      <c r="I1854" s="2">
        <v>0</v>
      </c>
      <c r="J1854" s="2">
        <v>0</v>
      </c>
      <c r="K1854" s="2">
        <v>0</v>
      </c>
      <c r="L1854" s="2">
        <v>0</v>
      </c>
      <c r="M1854" s="2">
        <v>30</v>
      </c>
      <c r="N1854" s="2">
        <v>0</v>
      </c>
      <c r="O1854" s="2">
        <v>30</v>
      </c>
      <c r="P1854" s="2">
        <v>0</v>
      </c>
      <c r="Q1854" s="2">
        <v>0</v>
      </c>
      <c r="R1854" s="2">
        <v>0</v>
      </c>
      <c r="S1854" s="2">
        <v>0</v>
      </c>
      <c r="T1854" s="2">
        <v>0</v>
      </c>
      <c r="U1854" s="2">
        <v>0</v>
      </c>
      <c r="W1854" s="2">
        <v>0</v>
      </c>
      <c r="X1854" s="2">
        <v>767.3</v>
      </c>
    </row>
    <row r="1855" spans="1:24" x14ac:dyDescent="0.25">
      <c r="G1855" s="2" t="s">
        <v>3135</v>
      </c>
    </row>
    <row r="1856" spans="1:24" x14ac:dyDescent="0.25">
      <c r="A1856" s="2">
        <v>925</v>
      </c>
      <c r="B1856" s="2">
        <v>10709</v>
      </c>
      <c r="C1856" s="2" t="s">
        <v>1691</v>
      </c>
      <c r="D1856" s="2" t="s">
        <v>275</v>
      </c>
      <c r="E1856" s="2" t="s">
        <v>39</v>
      </c>
      <c r="F1856" s="2" t="s">
        <v>3136</v>
      </c>
      <c r="G1856" s="2">
        <v>737</v>
      </c>
      <c r="H1856" s="2">
        <v>0</v>
      </c>
      <c r="I1856" s="2">
        <v>0</v>
      </c>
      <c r="J1856" s="2">
        <v>0</v>
      </c>
      <c r="K1856" s="2">
        <v>0</v>
      </c>
      <c r="L1856" s="2">
        <v>0</v>
      </c>
      <c r="M1856" s="2">
        <v>30</v>
      </c>
      <c r="N1856" s="2">
        <v>0</v>
      </c>
      <c r="O1856" s="2">
        <v>0</v>
      </c>
      <c r="P1856" s="2">
        <v>0</v>
      </c>
      <c r="Q1856" s="2">
        <v>0</v>
      </c>
      <c r="R1856" s="2">
        <v>0</v>
      </c>
      <c r="S1856" s="2">
        <v>0</v>
      </c>
      <c r="T1856" s="2">
        <v>0</v>
      </c>
      <c r="U1856" s="2">
        <v>0</v>
      </c>
      <c r="W1856" s="2">
        <v>0</v>
      </c>
      <c r="X1856" s="2">
        <v>767</v>
      </c>
    </row>
    <row r="1857" spans="1:24" x14ac:dyDescent="0.25">
      <c r="G1857" s="2" t="s">
        <v>3137</v>
      </c>
    </row>
    <row r="1858" spans="1:24" x14ac:dyDescent="0.25">
      <c r="A1858" s="2">
        <v>926</v>
      </c>
      <c r="B1858" s="2">
        <v>16108</v>
      </c>
      <c r="C1858" s="2" t="s">
        <v>3138</v>
      </c>
      <c r="D1858" s="2" t="s">
        <v>365</v>
      </c>
      <c r="E1858" s="2" t="s">
        <v>842</v>
      </c>
      <c r="F1858" s="2" t="s">
        <v>3139</v>
      </c>
      <c r="G1858" s="2">
        <v>737</v>
      </c>
      <c r="H1858" s="2">
        <v>0</v>
      </c>
      <c r="I1858" s="2">
        <v>0</v>
      </c>
      <c r="J1858" s="2">
        <v>0</v>
      </c>
      <c r="K1858" s="2">
        <v>0</v>
      </c>
      <c r="L1858" s="2">
        <v>0</v>
      </c>
      <c r="M1858" s="2">
        <v>30</v>
      </c>
      <c r="N1858" s="2">
        <v>0</v>
      </c>
      <c r="O1858" s="2">
        <v>0</v>
      </c>
      <c r="P1858" s="2">
        <v>0</v>
      </c>
      <c r="Q1858" s="2">
        <v>0</v>
      </c>
      <c r="R1858" s="2">
        <v>0</v>
      </c>
      <c r="S1858" s="2">
        <v>0</v>
      </c>
      <c r="T1858" s="2">
        <v>0</v>
      </c>
      <c r="U1858" s="2">
        <v>0</v>
      </c>
      <c r="W1858" s="2">
        <v>0</v>
      </c>
      <c r="X1858" s="2">
        <v>767</v>
      </c>
    </row>
    <row r="1859" spans="1:24" x14ac:dyDescent="0.25">
      <c r="G1859" s="2" t="s">
        <v>3140</v>
      </c>
    </row>
    <row r="1860" spans="1:24" x14ac:dyDescent="0.25">
      <c r="A1860" s="2">
        <v>927</v>
      </c>
      <c r="B1860" s="2">
        <v>13053</v>
      </c>
      <c r="C1860" s="2" t="s">
        <v>3141</v>
      </c>
      <c r="D1860" s="2" t="s">
        <v>133</v>
      </c>
      <c r="E1860" s="2" t="s">
        <v>194</v>
      </c>
      <c r="F1860" s="2" t="s">
        <v>3142</v>
      </c>
      <c r="G1860" s="2">
        <v>696.3</v>
      </c>
      <c r="H1860" s="2">
        <v>0</v>
      </c>
      <c r="I1860" s="2">
        <v>0</v>
      </c>
      <c r="J1860" s="2">
        <v>0</v>
      </c>
      <c r="K1860" s="2">
        <v>0</v>
      </c>
      <c r="L1860" s="2">
        <v>0</v>
      </c>
      <c r="M1860" s="2">
        <v>70</v>
      </c>
      <c r="N1860" s="2">
        <v>0</v>
      </c>
      <c r="O1860" s="2">
        <v>0</v>
      </c>
      <c r="P1860" s="2">
        <v>0</v>
      </c>
      <c r="Q1860" s="2">
        <v>0</v>
      </c>
      <c r="R1860" s="2">
        <v>0</v>
      </c>
      <c r="S1860" s="2">
        <v>0</v>
      </c>
      <c r="T1860" s="2">
        <v>0</v>
      </c>
      <c r="U1860" s="2">
        <v>0</v>
      </c>
      <c r="W1860" s="2">
        <v>0</v>
      </c>
      <c r="X1860" s="2">
        <v>766.3</v>
      </c>
    </row>
    <row r="1861" spans="1:24" x14ac:dyDescent="0.25">
      <c r="G1861" s="2" t="s">
        <v>3143</v>
      </c>
    </row>
    <row r="1862" spans="1:24" x14ac:dyDescent="0.25">
      <c r="A1862" s="2">
        <v>928</v>
      </c>
      <c r="B1862" s="2">
        <v>7837</v>
      </c>
      <c r="C1862" s="2" t="s">
        <v>3144</v>
      </c>
      <c r="D1862" s="2" t="s">
        <v>67</v>
      </c>
      <c r="E1862" s="2" t="s">
        <v>73</v>
      </c>
      <c r="F1862" s="2" t="s">
        <v>3145</v>
      </c>
      <c r="G1862" s="2">
        <v>735.9</v>
      </c>
      <c r="H1862" s="2">
        <v>0</v>
      </c>
      <c r="I1862" s="2">
        <v>0</v>
      </c>
      <c r="J1862" s="2">
        <v>0</v>
      </c>
      <c r="K1862" s="2">
        <v>0</v>
      </c>
      <c r="L1862" s="2">
        <v>0</v>
      </c>
      <c r="M1862" s="2">
        <v>30</v>
      </c>
      <c r="N1862" s="2">
        <v>0</v>
      </c>
      <c r="O1862" s="2">
        <v>0</v>
      </c>
      <c r="P1862" s="2">
        <v>0</v>
      </c>
      <c r="Q1862" s="2">
        <v>0</v>
      </c>
      <c r="R1862" s="2">
        <v>0</v>
      </c>
      <c r="S1862" s="2">
        <v>0</v>
      </c>
      <c r="T1862" s="2">
        <v>0</v>
      </c>
      <c r="U1862" s="2">
        <v>0</v>
      </c>
      <c r="W1862" s="2">
        <v>0</v>
      </c>
      <c r="X1862" s="2">
        <v>765.9</v>
      </c>
    </row>
    <row r="1863" spans="1:24" x14ac:dyDescent="0.25">
      <c r="G1863" s="2" t="s">
        <v>3146</v>
      </c>
    </row>
    <row r="1864" spans="1:24" x14ac:dyDescent="0.25">
      <c r="A1864" s="2">
        <v>929</v>
      </c>
      <c r="B1864" s="2">
        <v>5142</v>
      </c>
      <c r="C1864" s="2" t="s">
        <v>3147</v>
      </c>
      <c r="D1864" s="2" t="s">
        <v>365</v>
      </c>
      <c r="E1864" s="2" t="s">
        <v>194</v>
      </c>
      <c r="F1864" s="2" t="s">
        <v>3148</v>
      </c>
      <c r="G1864" s="2">
        <v>735.9</v>
      </c>
      <c r="H1864" s="2">
        <v>0</v>
      </c>
      <c r="I1864" s="2">
        <v>0</v>
      </c>
      <c r="J1864" s="2">
        <v>0</v>
      </c>
      <c r="K1864" s="2">
        <v>0</v>
      </c>
      <c r="L1864" s="2">
        <v>0</v>
      </c>
      <c r="M1864" s="2">
        <v>30</v>
      </c>
      <c r="N1864" s="2">
        <v>0</v>
      </c>
      <c r="O1864" s="2">
        <v>0</v>
      </c>
      <c r="P1864" s="2">
        <v>0</v>
      </c>
      <c r="Q1864" s="2">
        <v>0</v>
      </c>
      <c r="R1864" s="2">
        <v>0</v>
      </c>
      <c r="S1864" s="2">
        <v>0</v>
      </c>
      <c r="T1864" s="2">
        <v>0</v>
      </c>
      <c r="U1864" s="2">
        <v>0</v>
      </c>
      <c r="W1864" s="2">
        <v>0</v>
      </c>
      <c r="X1864" s="2">
        <v>765.9</v>
      </c>
    </row>
    <row r="1865" spans="1:24" x14ac:dyDescent="0.25">
      <c r="G1865" s="2" t="s">
        <v>3149</v>
      </c>
    </row>
    <row r="1866" spans="1:24" x14ac:dyDescent="0.25">
      <c r="A1866" s="2">
        <v>930</v>
      </c>
      <c r="B1866" s="2">
        <v>14047</v>
      </c>
      <c r="C1866" s="2" t="s">
        <v>3150</v>
      </c>
      <c r="D1866" s="2" t="s">
        <v>170</v>
      </c>
      <c r="E1866" s="2" t="s">
        <v>194</v>
      </c>
      <c r="F1866" s="2" t="s">
        <v>3151</v>
      </c>
      <c r="G1866" s="2">
        <v>765.6</v>
      </c>
      <c r="H1866" s="2">
        <v>0</v>
      </c>
      <c r="I1866" s="2">
        <v>0</v>
      </c>
      <c r="J1866" s="2">
        <v>0</v>
      </c>
      <c r="K1866" s="2">
        <v>0</v>
      </c>
      <c r="L1866" s="2">
        <v>0</v>
      </c>
      <c r="M1866" s="2">
        <v>0</v>
      </c>
      <c r="N1866" s="2">
        <v>0</v>
      </c>
      <c r="O1866" s="2">
        <v>0</v>
      </c>
      <c r="P1866" s="2">
        <v>0</v>
      </c>
      <c r="Q1866" s="2">
        <v>0</v>
      </c>
      <c r="R1866" s="2">
        <v>0</v>
      </c>
      <c r="S1866" s="2">
        <v>0</v>
      </c>
      <c r="T1866" s="2">
        <v>0</v>
      </c>
      <c r="U1866" s="2">
        <v>0</v>
      </c>
      <c r="W1866" s="2">
        <v>0</v>
      </c>
      <c r="X1866" s="2">
        <v>765.6</v>
      </c>
    </row>
    <row r="1867" spans="1:24" x14ac:dyDescent="0.25">
      <c r="G1867" s="2" t="s">
        <v>3152</v>
      </c>
    </row>
    <row r="1868" spans="1:24" x14ac:dyDescent="0.25">
      <c r="A1868" s="2">
        <v>931</v>
      </c>
      <c r="B1868" s="2">
        <v>3892</v>
      </c>
      <c r="C1868" s="2" t="s">
        <v>3153</v>
      </c>
      <c r="D1868" s="2" t="s">
        <v>289</v>
      </c>
      <c r="E1868" s="2" t="s">
        <v>39</v>
      </c>
      <c r="F1868" s="2" t="s">
        <v>3154</v>
      </c>
      <c r="G1868" s="2">
        <v>765.6</v>
      </c>
      <c r="H1868" s="2">
        <v>0</v>
      </c>
      <c r="I1868" s="2">
        <v>0</v>
      </c>
      <c r="J1868" s="2">
        <v>0</v>
      </c>
      <c r="K1868" s="2">
        <v>0</v>
      </c>
      <c r="L1868" s="2">
        <v>0</v>
      </c>
      <c r="M1868" s="2">
        <v>0</v>
      </c>
      <c r="N1868" s="2">
        <v>0</v>
      </c>
      <c r="O1868" s="2">
        <v>0</v>
      </c>
      <c r="P1868" s="2">
        <v>0</v>
      </c>
      <c r="Q1868" s="2">
        <v>0</v>
      </c>
      <c r="R1868" s="2">
        <v>0</v>
      </c>
      <c r="S1868" s="2">
        <v>0</v>
      </c>
      <c r="T1868" s="2">
        <v>0</v>
      </c>
      <c r="U1868" s="2">
        <v>0</v>
      </c>
      <c r="W1868" s="2">
        <v>0</v>
      </c>
      <c r="X1868" s="2">
        <v>765.6</v>
      </c>
    </row>
    <row r="1869" spans="1:24" x14ac:dyDescent="0.25">
      <c r="G1869" s="2" t="s">
        <v>3155</v>
      </c>
    </row>
    <row r="1870" spans="1:24" x14ac:dyDescent="0.25">
      <c r="A1870" s="2">
        <v>932</v>
      </c>
      <c r="B1870" s="2">
        <v>17447</v>
      </c>
      <c r="C1870" s="2" t="s">
        <v>3156</v>
      </c>
      <c r="D1870" s="2" t="s">
        <v>3157</v>
      </c>
      <c r="E1870" s="2" t="s">
        <v>39</v>
      </c>
      <c r="F1870" s="2" t="s">
        <v>3158</v>
      </c>
      <c r="G1870" s="2">
        <v>765.6</v>
      </c>
      <c r="H1870" s="2">
        <v>0</v>
      </c>
      <c r="I1870" s="2">
        <v>0</v>
      </c>
      <c r="J1870" s="2">
        <v>0</v>
      </c>
      <c r="K1870" s="2">
        <v>0</v>
      </c>
      <c r="L1870" s="2">
        <v>0</v>
      </c>
      <c r="M1870" s="2">
        <v>0</v>
      </c>
      <c r="N1870" s="2">
        <v>0</v>
      </c>
      <c r="O1870" s="2">
        <v>0</v>
      </c>
      <c r="P1870" s="2">
        <v>0</v>
      </c>
      <c r="Q1870" s="2">
        <v>0</v>
      </c>
      <c r="R1870" s="2">
        <v>0</v>
      </c>
      <c r="S1870" s="2">
        <v>0</v>
      </c>
      <c r="T1870" s="2">
        <v>0</v>
      </c>
      <c r="U1870" s="2">
        <v>0</v>
      </c>
      <c r="W1870" s="2">
        <v>0</v>
      </c>
      <c r="X1870" s="2">
        <v>765.6</v>
      </c>
    </row>
    <row r="1871" spans="1:24" x14ac:dyDescent="0.25">
      <c r="G1871" s="2" t="s">
        <v>3159</v>
      </c>
    </row>
    <row r="1872" spans="1:24" x14ac:dyDescent="0.25">
      <c r="A1872" s="2">
        <v>933</v>
      </c>
      <c r="B1872" s="2">
        <v>14029</v>
      </c>
      <c r="C1872" s="2" t="s">
        <v>3160</v>
      </c>
      <c r="D1872" s="2" t="s">
        <v>3161</v>
      </c>
      <c r="E1872" s="2" t="s">
        <v>51</v>
      </c>
      <c r="F1872" s="2" t="s">
        <v>3162</v>
      </c>
      <c r="G1872" s="2">
        <v>765.6</v>
      </c>
      <c r="H1872" s="2">
        <v>0</v>
      </c>
      <c r="I1872" s="2">
        <v>0</v>
      </c>
      <c r="J1872" s="2">
        <v>0</v>
      </c>
      <c r="K1872" s="2">
        <v>0</v>
      </c>
      <c r="L1872" s="2">
        <v>0</v>
      </c>
      <c r="M1872" s="2">
        <v>0</v>
      </c>
      <c r="N1872" s="2">
        <v>0</v>
      </c>
      <c r="O1872" s="2">
        <v>0</v>
      </c>
      <c r="P1872" s="2">
        <v>0</v>
      </c>
      <c r="Q1872" s="2">
        <v>0</v>
      </c>
      <c r="R1872" s="2">
        <v>0</v>
      </c>
      <c r="S1872" s="2">
        <v>0</v>
      </c>
      <c r="T1872" s="2">
        <v>0</v>
      </c>
      <c r="U1872" s="2">
        <v>0</v>
      </c>
      <c r="W1872" s="2">
        <v>0</v>
      </c>
      <c r="X1872" s="2">
        <v>765.6</v>
      </c>
    </row>
    <row r="1873" spans="1:24" x14ac:dyDescent="0.25">
      <c r="G1873" s="2" t="s">
        <v>3163</v>
      </c>
    </row>
    <row r="1874" spans="1:24" x14ac:dyDescent="0.25">
      <c r="A1874" s="2">
        <v>934</v>
      </c>
      <c r="B1874" s="2">
        <v>7791</v>
      </c>
      <c r="C1874" s="2" t="s">
        <v>3164</v>
      </c>
      <c r="D1874" s="2" t="s">
        <v>248</v>
      </c>
      <c r="E1874" s="2" t="s">
        <v>342</v>
      </c>
      <c r="F1874" s="2" t="s">
        <v>3165</v>
      </c>
      <c r="G1874" s="2">
        <v>715</v>
      </c>
      <c r="H1874" s="2">
        <v>0</v>
      </c>
      <c r="I1874" s="2">
        <v>0</v>
      </c>
      <c r="J1874" s="2">
        <v>0</v>
      </c>
      <c r="K1874" s="2">
        <v>0</v>
      </c>
      <c r="L1874" s="2">
        <v>0</v>
      </c>
      <c r="M1874" s="2">
        <v>50</v>
      </c>
      <c r="N1874" s="2">
        <v>0</v>
      </c>
      <c r="O1874" s="2">
        <v>0</v>
      </c>
      <c r="P1874" s="2">
        <v>0</v>
      </c>
      <c r="Q1874" s="2">
        <v>0</v>
      </c>
      <c r="R1874" s="2">
        <v>0</v>
      </c>
      <c r="S1874" s="2">
        <v>0</v>
      </c>
      <c r="T1874" s="2">
        <v>0</v>
      </c>
      <c r="U1874" s="2">
        <v>0</v>
      </c>
      <c r="W1874" s="2">
        <v>0</v>
      </c>
      <c r="X1874" s="2">
        <v>765</v>
      </c>
    </row>
    <row r="1875" spans="1:24" x14ac:dyDescent="0.25">
      <c r="G1875" s="2" t="s">
        <v>3166</v>
      </c>
    </row>
    <row r="1876" spans="1:24" x14ac:dyDescent="0.25">
      <c r="A1876" s="2">
        <v>935</v>
      </c>
      <c r="B1876" s="2">
        <v>13008</v>
      </c>
      <c r="C1876" s="2" t="s">
        <v>3167</v>
      </c>
      <c r="D1876" s="2" t="s">
        <v>1588</v>
      </c>
      <c r="E1876" s="2" t="s">
        <v>16</v>
      </c>
      <c r="F1876" s="2" t="s">
        <v>3168</v>
      </c>
      <c r="G1876" s="2">
        <v>733.7</v>
      </c>
      <c r="H1876" s="2">
        <v>0</v>
      </c>
      <c r="I1876" s="2">
        <v>0</v>
      </c>
      <c r="J1876" s="2">
        <v>0</v>
      </c>
      <c r="K1876" s="2">
        <v>0</v>
      </c>
      <c r="L1876" s="2">
        <v>0</v>
      </c>
      <c r="M1876" s="2">
        <v>30</v>
      </c>
      <c r="N1876" s="2">
        <v>0</v>
      </c>
      <c r="O1876" s="2">
        <v>0</v>
      </c>
      <c r="P1876" s="2">
        <v>0</v>
      </c>
      <c r="Q1876" s="2">
        <v>0</v>
      </c>
      <c r="R1876" s="2">
        <v>0</v>
      </c>
      <c r="S1876" s="2">
        <v>0</v>
      </c>
      <c r="T1876" s="2">
        <v>0</v>
      </c>
      <c r="U1876" s="2">
        <v>0</v>
      </c>
      <c r="W1876" s="2">
        <v>0</v>
      </c>
      <c r="X1876" s="2">
        <v>763.7</v>
      </c>
    </row>
    <row r="1877" spans="1:24" x14ac:dyDescent="0.25">
      <c r="G1877" s="2" t="s">
        <v>3169</v>
      </c>
    </row>
    <row r="1878" spans="1:24" x14ac:dyDescent="0.25">
      <c r="A1878" s="2">
        <v>936</v>
      </c>
      <c r="B1878" s="2">
        <v>7233</v>
      </c>
      <c r="C1878" s="2" t="s">
        <v>3170</v>
      </c>
      <c r="D1878" s="2" t="s">
        <v>3171</v>
      </c>
      <c r="E1878" s="2" t="s">
        <v>3172</v>
      </c>
      <c r="F1878" s="2" t="s">
        <v>3173</v>
      </c>
      <c r="G1878" s="2">
        <v>733.7</v>
      </c>
      <c r="H1878" s="2">
        <v>0</v>
      </c>
      <c r="I1878" s="2">
        <v>0</v>
      </c>
      <c r="J1878" s="2">
        <v>0</v>
      </c>
      <c r="K1878" s="2">
        <v>0</v>
      </c>
      <c r="L1878" s="2">
        <v>0</v>
      </c>
      <c r="M1878" s="2">
        <v>30</v>
      </c>
      <c r="N1878" s="2">
        <v>0</v>
      </c>
      <c r="O1878" s="2">
        <v>0</v>
      </c>
      <c r="P1878" s="2">
        <v>0</v>
      </c>
      <c r="Q1878" s="2">
        <v>0</v>
      </c>
      <c r="R1878" s="2">
        <v>0</v>
      </c>
      <c r="S1878" s="2">
        <v>0</v>
      </c>
      <c r="T1878" s="2">
        <v>0</v>
      </c>
      <c r="U1878" s="2">
        <v>0</v>
      </c>
      <c r="W1878" s="2">
        <v>0</v>
      </c>
      <c r="X1878" s="2">
        <v>763.7</v>
      </c>
    </row>
    <row r="1879" spans="1:24" x14ac:dyDescent="0.25">
      <c r="G1879" s="2" t="s">
        <v>2004</v>
      </c>
    </row>
    <row r="1880" spans="1:24" x14ac:dyDescent="0.25">
      <c r="A1880" s="2">
        <v>937</v>
      </c>
      <c r="B1880" s="2">
        <v>5999</v>
      </c>
      <c r="C1880" s="2" t="s">
        <v>3174</v>
      </c>
      <c r="D1880" s="2" t="s">
        <v>235</v>
      </c>
      <c r="E1880" s="2" t="s">
        <v>16</v>
      </c>
      <c r="F1880" s="2" t="s">
        <v>3175</v>
      </c>
      <c r="G1880" s="2">
        <v>763.4</v>
      </c>
      <c r="H1880" s="2">
        <v>0</v>
      </c>
      <c r="I1880" s="2">
        <v>0</v>
      </c>
      <c r="J1880" s="2">
        <v>0</v>
      </c>
      <c r="K1880" s="2">
        <v>0</v>
      </c>
      <c r="L1880" s="2">
        <v>0</v>
      </c>
      <c r="M1880" s="2">
        <v>0</v>
      </c>
      <c r="N1880" s="2">
        <v>0</v>
      </c>
      <c r="O1880" s="2">
        <v>0</v>
      </c>
      <c r="P1880" s="2">
        <v>0</v>
      </c>
      <c r="Q1880" s="2">
        <v>0</v>
      </c>
      <c r="R1880" s="2">
        <v>0</v>
      </c>
      <c r="S1880" s="2">
        <v>0</v>
      </c>
      <c r="T1880" s="2">
        <v>0</v>
      </c>
      <c r="U1880" s="2">
        <v>0</v>
      </c>
      <c r="W1880" s="2">
        <v>0</v>
      </c>
      <c r="X1880" s="2">
        <v>763.4</v>
      </c>
    </row>
    <row r="1881" spans="1:24" x14ac:dyDescent="0.25">
      <c r="G1881" s="2" t="s">
        <v>3176</v>
      </c>
    </row>
    <row r="1882" spans="1:24" x14ac:dyDescent="0.25">
      <c r="A1882" s="2">
        <v>938</v>
      </c>
      <c r="B1882" s="2">
        <v>14105</v>
      </c>
      <c r="C1882" s="2" t="s">
        <v>2699</v>
      </c>
      <c r="D1882" s="2" t="s">
        <v>235</v>
      </c>
      <c r="E1882" s="2" t="s">
        <v>90</v>
      </c>
      <c r="F1882" s="2" t="s">
        <v>3177</v>
      </c>
      <c r="G1882" s="2">
        <v>732.6</v>
      </c>
      <c r="H1882" s="2">
        <v>0</v>
      </c>
      <c r="I1882" s="2">
        <v>0</v>
      </c>
      <c r="J1882" s="2">
        <v>0</v>
      </c>
      <c r="K1882" s="2">
        <v>0</v>
      </c>
      <c r="L1882" s="2">
        <v>0</v>
      </c>
      <c r="M1882" s="2">
        <v>30</v>
      </c>
      <c r="N1882" s="2">
        <v>0</v>
      </c>
      <c r="O1882" s="2">
        <v>0</v>
      </c>
      <c r="P1882" s="2">
        <v>0</v>
      </c>
      <c r="Q1882" s="2">
        <v>0</v>
      </c>
      <c r="R1882" s="2">
        <v>0</v>
      </c>
      <c r="S1882" s="2">
        <v>0</v>
      </c>
      <c r="T1882" s="2">
        <v>0</v>
      </c>
      <c r="U1882" s="2">
        <v>0</v>
      </c>
      <c r="W1882" s="2">
        <v>1</v>
      </c>
      <c r="X1882" s="2">
        <v>762.6</v>
      </c>
    </row>
    <row r="1883" spans="1:24" x14ac:dyDescent="0.25">
      <c r="G1883" s="2" t="s">
        <v>3178</v>
      </c>
    </row>
    <row r="1884" spans="1:24" x14ac:dyDescent="0.25">
      <c r="A1884" s="2">
        <v>939</v>
      </c>
      <c r="B1884" s="2">
        <v>5907</v>
      </c>
      <c r="C1884" s="2" t="s">
        <v>736</v>
      </c>
      <c r="D1884" s="2" t="s">
        <v>902</v>
      </c>
      <c r="E1884" s="2" t="s">
        <v>16</v>
      </c>
      <c r="F1884" s="2" t="s">
        <v>3179</v>
      </c>
      <c r="G1884" s="2">
        <v>732.6</v>
      </c>
      <c r="H1884" s="2">
        <v>0</v>
      </c>
      <c r="I1884" s="2">
        <v>0</v>
      </c>
      <c r="J1884" s="2">
        <v>0</v>
      </c>
      <c r="K1884" s="2">
        <v>0</v>
      </c>
      <c r="L1884" s="2">
        <v>0</v>
      </c>
      <c r="M1884" s="2">
        <v>30</v>
      </c>
      <c r="N1884" s="2">
        <v>0</v>
      </c>
      <c r="O1884" s="2">
        <v>0</v>
      </c>
      <c r="P1884" s="2">
        <v>0</v>
      </c>
      <c r="Q1884" s="2">
        <v>0</v>
      </c>
      <c r="R1884" s="2">
        <v>0</v>
      </c>
      <c r="S1884" s="2">
        <v>0</v>
      </c>
      <c r="T1884" s="2">
        <v>0</v>
      </c>
      <c r="U1884" s="2">
        <v>0</v>
      </c>
      <c r="W1884" s="2">
        <v>1</v>
      </c>
      <c r="X1884" s="2">
        <v>762.6</v>
      </c>
    </row>
    <row r="1885" spans="1:24" x14ac:dyDescent="0.25">
      <c r="G1885" s="2" t="s">
        <v>3180</v>
      </c>
    </row>
    <row r="1886" spans="1:24" x14ac:dyDescent="0.25">
      <c r="A1886" s="2">
        <v>940</v>
      </c>
      <c r="B1886" s="2">
        <v>5985</v>
      </c>
      <c r="C1886" s="2" t="s">
        <v>3181</v>
      </c>
      <c r="D1886" s="2" t="s">
        <v>902</v>
      </c>
      <c r="E1886" s="2" t="s">
        <v>39</v>
      </c>
      <c r="F1886" s="2" t="s">
        <v>3182</v>
      </c>
      <c r="G1886" s="2">
        <v>762.3</v>
      </c>
      <c r="H1886" s="2">
        <v>0</v>
      </c>
      <c r="I1886" s="2">
        <v>0</v>
      </c>
      <c r="J1886" s="2">
        <v>0</v>
      </c>
      <c r="K1886" s="2">
        <v>0</v>
      </c>
      <c r="L1886" s="2">
        <v>0</v>
      </c>
      <c r="M1886" s="2">
        <v>0</v>
      </c>
      <c r="N1886" s="2">
        <v>0</v>
      </c>
      <c r="O1886" s="2">
        <v>0</v>
      </c>
      <c r="P1886" s="2">
        <v>0</v>
      </c>
      <c r="Q1886" s="2">
        <v>0</v>
      </c>
      <c r="R1886" s="2">
        <v>0</v>
      </c>
      <c r="S1886" s="2">
        <v>0</v>
      </c>
      <c r="T1886" s="2">
        <v>0</v>
      </c>
      <c r="U1886" s="2">
        <v>0</v>
      </c>
      <c r="W1886" s="2">
        <v>0</v>
      </c>
      <c r="X1886" s="2">
        <v>762.3</v>
      </c>
    </row>
    <row r="1887" spans="1:24" x14ac:dyDescent="0.25">
      <c r="G1887" s="2" t="s">
        <v>3183</v>
      </c>
    </row>
    <row r="1888" spans="1:24" x14ac:dyDescent="0.25">
      <c r="A1888" s="2">
        <v>941</v>
      </c>
      <c r="B1888" s="2">
        <v>1245</v>
      </c>
      <c r="C1888" s="2" t="s">
        <v>3184</v>
      </c>
      <c r="D1888" s="2" t="s">
        <v>51</v>
      </c>
      <c r="E1888" s="2" t="s">
        <v>78</v>
      </c>
      <c r="F1888" s="2" t="s">
        <v>3185</v>
      </c>
      <c r="G1888" s="2">
        <v>762.3</v>
      </c>
      <c r="H1888" s="2">
        <v>0</v>
      </c>
      <c r="I1888" s="2">
        <v>0</v>
      </c>
      <c r="J1888" s="2">
        <v>0</v>
      </c>
      <c r="K1888" s="2">
        <v>0</v>
      </c>
      <c r="L1888" s="2">
        <v>0</v>
      </c>
      <c r="M1888" s="2">
        <v>0</v>
      </c>
      <c r="N1888" s="2">
        <v>0</v>
      </c>
      <c r="O1888" s="2">
        <v>0</v>
      </c>
      <c r="P1888" s="2">
        <v>0</v>
      </c>
      <c r="Q1888" s="2">
        <v>0</v>
      </c>
      <c r="R1888" s="2">
        <v>0</v>
      </c>
      <c r="S1888" s="2">
        <v>0</v>
      </c>
      <c r="T1888" s="2">
        <v>0</v>
      </c>
      <c r="U1888" s="2">
        <v>0</v>
      </c>
      <c r="W1888" s="2">
        <v>0</v>
      </c>
      <c r="X1888" s="2">
        <v>762.3</v>
      </c>
    </row>
    <row r="1889" spans="1:24" x14ac:dyDescent="0.25">
      <c r="G1889" s="2" t="s">
        <v>3186</v>
      </c>
    </row>
    <row r="1890" spans="1:24" x14ac:dyDescent="0.25">
      <c r="A1890" s="2">
        <v>942</v>
      </c>
      <c r="B1890" s="2">
        <v>9273</v>
      </c>
      <c r="C1890" s="2" t="s">
        <v>3187</v>
      </c>
      <c r="D1890" s="2" t="s">
        <v>248</v>
      </c>
      <c r="E1890" s="2" t="s">
        <v>127</v>
      </c>
      <c r="F1890" s="2" t="s">
        <v>3188</v>
      </c>
      <c r="G1890" s="2">
        <v>762.3</v>
      </c>
      <c r="H1890" s="2">
        <v>0</v>
      </c>
      <c r="I1890" s="2">
        <v>0</v>
      </c>
      <c r="J1890" s="2">
        <v>0</v>
      </c>
      <c r="K1890" s="2">
        <v>0</v>
      </c>
      <c r="L1890" s="2">
        <v>0</v>
      </c>
      <c r="M1890" s="2">
        <v>0</v>
      </c>
      <c r="N1890" s="2">
        <v>0</v>
      </c>
      <c r="O1890" s="2">
        <v>0</v>
      </c>
      <c r="P1890" s="2">
        <v>0</v>
      </c>
      <c r="Q1890" s="2">
        <v>0</v>
      </c>
      <c r="R1890" s="2">
        <v>0</v>
      </c>
      <c r="S1890" s="2">
        <v>0</v>
      </c>
      <c r="T1890" s="2">
        <v>0</v>
      </c>
      <c r="U1890" s="2">
        <v>0</v>
      </c>
      <c r="W1890" s="2">
        <v>0</v>
      </c>
      <c r="X1890" s="2">
        <v>762.3</v>
      </c>
    </row>
    <row r="1891" spans="1:24" x14ac:dyDescent="0.25">
      <c r="G1891" s="2" t="s">
        <v>3189</v>
      </c>
    </row>
    <row r="1892" spans="1:24" x14ac:dyDescent="0.25">
      <c r="A1892" s="2">
        <v>943</v>
      </c>
      <c r="B1892" s="2">
        <v>3137</v>
      </c>
      <c r="C1892" s="2" t="s">
        <v>3190</v>
      </c>
      <c r="D1892" s="2" t="s">
        <v>264</v>
      </c>
      <c r="E1892" s="2" t="s">
        <v>16</v>
      </c>
      <c r="F1892" s="2" t="s">
        <v>3191</v>
      </c>
      <c r="G1892" s="2">
        <v>731.5</v>
      </c>
      <c r="H1892" s="2">
        <v>0</v>
      </c>
      <c r="I1892" s="2">
        <v>0</v>
      </c>
      <c r="J1892" s="2">
        <v>0</v>
      </c>
      <c r="K1892" s="2">
        <v>0</v>
      </c>
      <c r="L1892" s="2">
        <v>0</v>
      </c>
      <c r="M1892" s="2">
        <v>30</v>
      </c>
      <c r="N1892" s="2">
        <v>0</v>
      </c>
      <c r="O1892" s="2">
        <v>0</v>
      </c>
      <c r="P1892" s="2">
        <v>0</v>
      </c>
      <c r="Q1892" s="2">
        <v>0</v>
      </c>
      <c r="R1892" s="2">
        <v>0</v>
      </c>
      <c r="S1892" s="2">
        <v>0</v>
      </c>
      <c r="T1892" s="2">
        <v>0</v>
      </c>
      <c r="U1892" s="2">
        <v>0</v>
      </c>
      <c r="W1892" s="2">
        <v>0</v>
      </c>
      <c r="X1892" s="2">
        <v>761.5</v>
      </c>
    </row>
    <row r="1893" spans="1:24" x14ac:dyDescent="0.25">
      <c r="G1893" s="2" t="s">
        <v>3192</v>
      </c>
    </row>
    <row r="1894" spans="1:24" x14ac:dyDescent="0.25">
      <c r="A1894" s="2">
        <v>944</v>
      </c>
      <c r="B1894" s="2">
        <v>12994</v>
      </c>
      <c r="C1894" s="2" t="s">
        <v>3193</v>
      </c>
      <c r="D1894" s="2" t="s">
        <v>279</v>
      </c>
      <c r="E1894" s="2" t="s">
        <v>1440</v>
      </c>
      <c r="F1894" s="2" t="s">
        <v>3194</v>
      </c>
      <c r="G1894" s="2">
        <v>731.5</v>
      </c>
      <c r="H1894" s="2">
        <v>0</v>
      </c>
      <c r="I1894" s="2">
        <v>0</v>
      </c>
      <c r="J1894" s="2">
        <v>0</v>
      </c>
      <c r="K1894" s="2">
        <v>0</v>
      </c>
      <c r="L1894" s="2">
        <v>0</v>
      </c>
      <c r="M1894" s="2">
        <v>30</v>
      </c>
      <c r="N1894" s="2">
        <v>0</v>
      </c>
      <c r="O1894" s="2">
        <v>0</v>
      </c>
      <c r="P1894" s="2">
        <v>0</v>
      </c>
      <c r="Q1894" s="2">
        <v>0</v>
      </c>
      <c r="R1894" s="2">
        <v>0</v>
      </c>
      <c r="S1894" s="2">
        <v>0</v>
      </c>
      <c r="T1894" s="2">
        <v>0</v>
      </c>
      <c r="U1894" s="2">
        <v>0</v>
      </c>
      <c r="W1894" s="2">
        <v>0</v>
      </c>
      <c r="X1894" s="2">
        <v>761.5</v>
      </c>
    </row>
    <row r="1895" spans="1:24" x14ac:dyDescent="0.25">
      <c r="G1895" s="2" t="s">
        <v>3195</v>
      </c>
    </row>
    <row r="1896" spans="1:24" x14ac:dyDescent="0.25">
      <c r="A1896" s="2">
        <v>945</v>
      </c>
      <c r="B1896" s="2">
        <v>359</v>
      </c>
      <c r="C1896" s="2" t="s">
        <v>495</v>
      </c>
      <c r="D1896" s="2" t="s">
        <v>208</v>
      </c>
      <c r="E1896" s="2" t="s">
        <v>194</v>
      </c>
      <c r="F1896" s="2" t="s">
        <v>3196</v>
      </c>
      <c r="G1896" s="2">
        <v>730.4</v>
      </c>
      <c r="H1896" s="2">
        <v>0</v>
      </c>
      <c r="I1896" s="2">
        <v>0</v>
      </c>
      <c r="J1896" s="2">
        <v>0</v>
      </c>
      <c r="K1896" s="2">
        <v>0</v>
      </c>
      <c r="L1896" s="2">
        <v>0</v>
      </c>
      <c r="M1896" s="2">
        <v>0</v>
      </c>
      <c r="N1896" s="2">
        <v>0</v>
      </c>
      <c r="O1896" s="2">
        <v>0</v>
      </c>
      <c r="P1896" s="2">
        <v>0</v>
      </c>
      <c r="Q1896" s="2">
        <v>0</v>
      </c>
      <c r="R1896" s="2">
        <v>30</v>
      </c>
      <c r="S1896" s="2">
        <v>0</v>
      </c>
      <c r="T1896" s="2">
        <v>0</v>
      </c>
      <c r="U1896" s="2">
        <v>0</v>
      </c>
      <c r="W1896" s="2">
        <v>0</v>
      </c>
      <c r="X1896" s="2">
        <v>760.4</v>
      </c>
    </row>
    <row r="1897" spans="1:24" x14ac:dyDescent="0.25">
      <c r="G1897" s="2" t="s">
        <v>3197</v>
      </c>
    </row>
    <row r="1898" spans="1:24" x14ac:dyDescent="0.25">
      <c r="A1898" s="2">
        <v>946</v>
      </c>
      <c r="B1898" s="2">
        <v>4761</v>
      </c>
      <c r="C1898" s="2" t="s">
        <v>3198</v>
      </c>
      <c r="D1898" s="2" t="s">
        <v>50</v>
      </c>
      <c r="E1898" s="2" t="s">
        <v>16</v>
      </c>
      <c r="F1898" s="2" t="s">
        <v>3199</v>
      </c>
      <c r="G1898" s="2">
        <v>730.4</v>
      </c>
      <c r="H1898" s="2">
        <v>0</v>
      </c>
      <c r="I1898" s="2">
        <v>0</v>
      </c>
      <c r="J1898" s="2">
        <v>0</v>
      </c>
      <c r="K1898" s="2">
        <v>0</v>
      </c>
      <c r="L1898" s="2">
        <v>0</v>
      </c>
      <c r="M1898" s="2">
        <v>30</v>
      </c>
      <c r="N1898" s="2">
        <v>0</v>
      </c>
      <c r="O1898" s="2">
        <v>0</v>
      </c>
      <c r="P1898" s="2">
        <v>0</v>
      </c>
      <c r="Q1898" s="2">
        <v>0</v>
      </c>
      <c r="R1898" s="2">
        <v>0</v>
      </c>
      <c r="S1898" s="2">
        <v>0</v>
      </c>
      <c r="T1898" s="2">
        <v>0</v>
      </c>
      <c r="U1898" s="2">
        <v>0</v>
      </c>
      <c r="W1898" s="2">
        <v>0</v>
      </c>
      <c r="X1898" s="2">
        <v>760.4</v>
      </c>
    </row>
    <row r="1899" spans="1:24" x14ac:dyDescent="0.25">
      <c r="G1899" s="2" t="s">
        <v>3200</v>
      </c>
    </row>
    <row r="1900" spans="1:24" x14ac:dyDescent="0.25">
      <c r="A1900" s="2">
        <v>947</v>
      </c>
      <c r="B1900" s="2">
        <v>10732</v>
      </c>
      <c r="C1900" s="2" t="s">
        <v>3201</v>
      </c>
      <c r="D1900" s="2" t="s">
        <v>79</v>
      </c>
      <c r="E1900" s="2" t="s">
        <v>73</v>
      </c>
      <c r="F1900" s="2" t="s">
        <v>3202</v>
      </c>
      <c r="G1900" s="2">
        <v>730.4</v>
      </c>
      <c r="H1900" s="2">
        <v>0</v>
      </c>
      <c r="I1900" s="2">
        <v>0</v>
      </c>
      <c r="J1900" s="2">
        <v>0</v>
      </c>
      <c r="K1900" s="2">
        <v>0</v>
      </c>
      <c r="L1900" s="2">
        <v>0</v>
      </c>
      <c r="M1900" s="2">
        <v>30</v>
      </c>
      <c r="N1900" s="2">
        <v>0</v>
      </c>
      <c r="O1900" s="2">
        <v>0</v>
      </c>
      <c r="P1900" s="2">
        <v>0</v>
      </c>
      <c r="Q1900" s="2">
        <v>0</v>
      </c>
      <c r="R1900" s="2">
        <v>0</v>
      </c>
      <c r="S1900" s="2">
        <v>0</v>
      </c>
      <c r="T1900" s="2">
        <v>0</v>
      </c>
      <c r="U1900" s="2">
        <v>0</v>
      </c>
      <c r="W1900" s="2">
        <v>1</v>
      </c>
      <c r="X1900" s="2">
        <v>760.4</v>
      </c>
    </row>
    <row r="1901" spans="1:24" x14ac:dyDescent="0.25">
      <c r="G1901" s="2" t="s">
        <v>3203</v>
      </c>
    </row>
    <row r="1902" spans="1:24" x14ac:dyDescent="0.25">
      <c r="A1902" s="2">
        <v>948</v>
      </c>
      <c r="B1902" s="2">
        <v>8018</v>
      </c>
      <c r="C1902" s="2" t="s">
        <v>3204</v>
      </c>
      <c r="D1902" s="2" t="s">
        <v>342</v>
      </c>
      <c r="E1902" s="2" t="s">
        <v>3205</v>
      </c>
      <c r="F1902" s="2" t="s">
        <v>3206</v>
      </c>
      <c r="G1902" s="2">
        <v>760.1</v>
      </c>
      <c r="H1902" s="2">
        <v>0</v>
      </c>
      <c r="I1902" s="2">
        <v>0</v>
      </c>
      <c r="J1902" s="2">
        <v>0</v>
      </c>
      <c r="K1902" s="2">
        <v>0</v>
      </c>
      <c r="L1902" s="2">
        <v>0</v>
      </c>
      <c r="M1902" s="2">
        <v>0</v>
      </c>
      <c r="N1902" s="2">
        <v>0</v>
      </c>
      <c r="O1902" s="2">
        <v>0</v>
      </c>
      <c r="P1902" s="2">
        <v>0</v>
      </c>
      <c r="Q1902" s="2">
        <v>0</v>
      </c>
      <c r="R1902" s="2">
        <v>0</v>
      </c>
      <c r="S1902" s="2">
        <v>0</v>
      </c>
      <c r="T1902" s="2">
        <v>0</v>
      </c>
      <c r="U1902" s="2">
        <v>0</v>
      </c>
      <c r="W1902" s="2">
        <v>0</v>
      </c>
      <c r="X1902" s="2">
        <v>760.1</v>
      </c>
    </row>
    <row r="1903" spans="1:24" x14ac:dyDescent="0.25">
      <c r="G1903" s="2" t="s">
        <v>3207</v>
      </c>
    </row>
    <row r="1904" spans="1:24" x14ac:dyDescent="0.25">
      <c r="A1904" s="2">
        <v>949</v>
      </c>
      <c r="B1904" s="2">
        <v>8916</v>
      </c>
      <c r="C1904" s="2" t="s">
        <v>3208</v>
      </c>
      <c r="D1904" s="2" t="s">
        <v>3209</v>
      </c>
      <c r="E1904" s="2" t="s">
        <v>127</v>
      </c>
      <c r="F1904" s="2" t="s">
        <v>3210</v>
      </c>
      <c r="G1904" s="2">
        <v>760.1</v>
      </c>
      <c r="H1904" s="2">
        <v>0</v>
      </c>
      <c r="I1904" s="2">
        <v>0</v>
      </c>
      <c r="J1904" s="2">
        <v>0</v>
      </c>
      <c r="K1904" s="2">
        <v>0</v>
      </c>
      <c r="L1904" s="2">
        <v>0</v>
      </c>
      <c r="M1904" s="2">
        <v>0</v>
      </c>
      <c r="N1904" s="2">
        <v>0</v>
      </c>
      <c r="O1904" s="2">
        <v>0</v>
      </c>
      <c r="P1904" s="2">
        <v>0</v>
      </c>
      <c r="Q1904" s="2">
        <v>0</v>
      </c>
      <c r="R1904" s="2">
        <v>0</v>
      </c>
      <c r="S1904" s="2">
        <v>0</v>
      </c>
      <c r="T1904" s="2">
        <v>0</v>
      </c>
      <c r="U1904" s="2">
        <v>0</v>
      </c>
      <c r="W1904" s="2">
        <v>0</v>
      </c>
      <c r="X1904" s="2">
        <v>760.1</v>
      </c>
    </row>
    <row r="1905" spans="1:24" x14ac:dyDescent="0.25">
      <c r="G1905" s="2" t="s">
        <v>3211</v>
      </c>
    </row>
    <row r="1906" spans="1:24" x14ac:dyDescent="0.25">
      <c r="A1906" s="2">
        <v>950</v>
      </c>
      <c r="B1906" s="2">
        <v>4501</v>
      </c>
      <c r="C1906" s="2" t="s">
        <v>3212</v>
      </c>
      <c r="D1906" s="2" t="s">
        <v>488</v>
      </c>
      <c r="E1906" s="2" t="s">
        <v>73</v>
      </c>
      <c r="F1906" s="2" t="s">
        <v>3213</v>
      </c>
      <c r="G1906" s="2">
        <v>759</v>
      </c>
      <c r="H1906" s="2">
        <v>0</v>
      </c>
      <c r="I1906" s="2">
        <v>0</v>
      </c>
      <c r="J1906" s="2">
        <v>0</v>
      </c>
      <c r="K1906" s="2">
        <v>0</v>
      </c>
      <c r="L1906" s="2">
        <v>0</v>
      </c>
      <c r="M1906" s="2">
        <v>0</v>
      </c>
      <c r="N1906" s="2">
        <v>0</v>
      </c>
      <c r="O1906" s="2">
        <v>0</v>
      </c>
      <c r="P1906" s="2">
        <v>0</v>
      </c>
      <c r="Q1906" s="2">
        <v>0</v>
      </c>
      <c r="R1906" s="2">
        <v>0</v>
      </c>
      <c r="S1906" s="2">
        <v>0</v>
      </c>
      <c r="T1906" s="2">
        <v>0</v>
      </c>
      <c r="U1906" s="2">
        <v>0</v>
      </c>
      <c r="W1906" s="2">
        <v>0</v>
      </c>
      <c r="X1906" s="2">
        <v>759</v>
      </c>
    </row>
    <row r="1907" spans="1:24" x14ac:dyDescent="0.25">
      <c r="G1907" s="2" t="s">
        <v>3214</v>
      </c>
    </row>
    <row r="1908" spans="1:24" x14ac:dyDescent="0.25">
      <c r="A1908" s="2">
        <v>951</v>
      </c>
      <c r="B1908" s="2">
        <v>15786</v>
      </c>
      <c r="C1908" s="2" t="s">
        <v>3215</v>
      </c>
      <c r="D1908" s="2" t="s">
        <v>3216</v>
      </c>
      <c r="E1908" s="2" t="s">
        <v>39</v>
      </c>
      <c r="F1908" s="2" t="s">
        <v>3217</v>
      </c>
      <c r="G1908" s="2">
        <v>759</v>
      </c>
      <c r="H1908" s="2">
        <v>0</v>
      </c>
      <c r="I1908" s="2">
        <v>0</v>
      </c>
      <c r="J1908" s="2">
        <v>0</v>
      </c>
      <c r="K1908" s="2">
        <v>0</v>
      </c>
      <c r="L1908" s="2">
        <v>0</v>
      </c>
      <c r="M1908" s="2">
        <v>0</v>
      </c>
      <c r="N1908" s="2">
        <v>0</v>
      </c>
      <c r="O1908" s="2">
        <v>0</v>
      </c>
      <c r="P1908" s="2">
        <v>0</v>
      </c>
      <c r="Q1908" s="2">
        <v>0</v>
      </c>
      <c r="R1908" s="2">
        <v>0</v>
      </c>
      <c r="S1908" s="2">
        <v>0</v>
      </c>
      <c r="T1908" s="2">
        <v>0</v>
      </c>
      <c r="U1908" s="2">
        <v>0</v>
      </c>
      <c r="W1908" s="2">
        <v>0</v>
      </c>
      <c r="X1908" s="2">
        <v>759</v>
      </c>
    </row>
    <row r="1909" spans="1:24" x14ac:dyDescent="0.25">
      <c r="G1909" s="2" t="s">
        <v>3218</v>
      </c>
    </row>
    <row r="1910" spans="1:24" x14ac:dyDescent="0.25">
      <c r="A1910" s="2">
        <v>952</v>
      </c>
      <c r="B1910" s="2">
        <v>47</v>
      </c>
      <c r="C1910" s="2" t="s">
        <v>3219</v>
      </c>
      <c r="D1910" s="2" t="s">
        <v>279</v>
      </c>
      <c r="E1910" s="2" t="s">
        <v>138</v>
      </c>
      <c r="F1910" s="2" t="s">
        <v>3220</v>
      </c>
      <c r="G1910" s="2">
        <v>759</v>
      </c>
      <c r="H1910" s="2">
        <v>0</v>
      </c>
      <c r="I1910" s="2">
        <v>0</v>
      </c>
      <c r="J1910" s="2">
        <v>0</v>
      </c>
      <c r="K1910" s="2">
        <v>0</v>
      </c>
      <c r="L1910" s="2">
        <v>0</v>
      </c>
      <c r="M1910" s="2">
        <v>0</v>
      </c>
      <c r="N1910" s="2">
        <v>0</v>
      </c>
      <c r="O1910" s="2">
        <v>0</v>
      </c>
      <c r="P1910" s="2">
        <v>0</v>
      </c>
      <c r="Q1910" s="2">
        <v>0</v>
      </c>
      <c r="R1910" s="2">
        <v>0</v>
      </c>
      <c r="S1910" s="2">
        <v>0</v>
      </c>
      <c r="T1910" s="2">
        <v>0</v>
      </c>
      <c r="U1910" s="2">
        <v>0</v>
      </c>
      <c r="W1910" s="2">
        <v>0</v>
      </c>
      <c r="X1910" s="2">
        <v>759</v>
      </c>
    </row>
    <row r="1911" spans="1:24" x14ac:dyDescent="0.25">
      <c r="G1911" s="2" t="s">
        <v>3221</v>
      </c>
    </row>
    <row r="1912" spans="1:24" x14ac:dyDescent="0.25">
      <c r="A1912" s="2">
        <v>953</v>
      </c>
      <c r="B1912" s="2">
        <v>6251</v>
      </c>
      <c r="C1912" s="2" t="s">
        <v>3222</v>
      </c>
      <c r="D1912" s="2" t="s">
        <v>112</v>
      </c>
      <c r="E1912" s="2" t="s">
        <v>3223</v>
      </c>
      <c r="F1912" s="2" t="s">
        <v>3224</v>
      </c>
      <c r="G1912" s="2">
        <v>759</v>
      </c>
      <c r="H1912" s="2">
        <v>0</v>
      </c>
      <c r="I1912" s="2">
        <v>0</v>
      </c>
      <c r="J1912" s="2">
        <v>0</v>
      </c>
      <c r="K1912" s="2">
        <v>0</v>
      </c>
      <c r="L1912" s="2">
        <v>0</v>
      </c>
      <c r="M1912" s="2">
        <v>0</v>
      </c>
      <c r="N1912" s="2">
        <v>0</v>
      </c>
      <c r="O1912" s="2">
        <v>0</v>
      </c>
      <c r="P1912" s="2">
        <v>0</v>
      </c>
      <c r="Q1912" s="2">
        <v>0</v>
      </c>
      <c r="R1912" s="2">
        <v>0</v>
      </c>
      <c r="S1912" s="2">
        <v>0</v>
      </c>
      <c r="T1912" s="2">
        <v>0</v>
      </c>
      <c r="U1912" s="2">
        <v>0</v>
      </c>
      <c r="W1912" s="2">
        <v>0</v>
      </c>
      <c r="X1912" s="2">
        <v>759</v>
      </c>
    </row>
    <row r="1913" spans="1:24" x14ac:dyDescent="0.25">
      <c r="G1913" s="2" t="s">
        <v>3225</v>
      </c>
    </row>
    <row r="1914" spans="1:24" x14ac:dyDescent="0.25">
      <c r="A1914" s="2">
        <v>954</v>
      </c>
      <c r="B1914" s="2">
        <v>8174</v>
      </c>
      <c r="C1914" s="2" t="s">
        <v>3226</v>
      </c>
      <c r="D1914" s="2" t="s">
        <v>1399</v>
      </c>
      <c r="E1914" s="2" t="s">
        <v>108</v>
      </c>
      <c r="F1914" s="2" t="s">
        <v>3227</v>
      </c>
      <c r="G1914" s="2">
        <v>757.9</v>
      </c>
      <c r="H1914" s="2">
        <v>0</v>
      </c>
      <c r="I1914" s="2">
        <v>0</v>
      </c>
      <c r="J1914" s="2">
        <v>0</v>
      </c>
      <c r="K1914" s="2">
        <v>0</v>
      </c>
      <c r="L1914" s="2">
        <v>0</v>
      </c>
      <c r="M1914" s="2">
        <v>0</v>
      </c>
      <c r="N1914" s="2">
        <v>0</v>
      </c>
      <c r="O1914" s="2">
        <v>0</v>
      </c>
      <c r="P1914" s="2">
        <v>0</v>
      </c>
      <c r="Q1914" s="2">
        <v>0</v>
      </c>
      <c r="R1914" s="2">
        <v>0</v>
      </c>
      <c r="S1914" s="2">
        <v>0</v>
      </c>
      <c r="T1914" s="2">
        <v>0</v>
      </c>
      <c r="U1914" s="2">
        <v>0</v>
      </c>
      <c r="W1914" s="2">
        <v>0</v>
      </c>
      <c r="X1914" s="2">
        <v>757.9</v>
      </c>
    </row>
    <row r="1915" spans="1:24" x14ac:dyDescent="0.25">
      <c r="G1915" s="2" t="s">
        <v>3228</v>
      </c>
    </row>
    <row r="1916" spans="1:24" x14ac:dyDescent="0.25">
      <c r="A1916" s="2">
        <v>955</v>
      </c>
      <c r="B1916" s="2">
        <v>7973</v>
      </c>
      <c r="C1916" s="2" t="s">
        <v>3229</v>
      </c>
      <c r="D1916" s="2" t="s">
        <v>406</v>
      </c>
      <c r="E1916" s="2" t="s">
        <v>194</v>
      </c>
      <c r="F1916" s="2" t="s">
        <v>3230</v>
      </c>
      <c r="G1916" s="2">
        <v>727.1</v>
      </c>
      <c r="H1916" s="2">
        <v>0</v>
      </c>
      <c r="I1916" s="2">
        <v>0</v>
      </c>
      <c r="J1916" s="2">
        <v>0</v>
      </c>
      <c r="K1916" s="2">
        <v>0</v>
      </c>
      <c r="L1916" s="2">
        <v>0</v>
      </c>
      <c r="M1916" s="2">
        <v>30</v>
      </c>
      <c r="N1916" s="2">
        <v>0</v>
      </c>
      <c r="O1916" s="2">
        <v>0</v>
      </c>
      <c r="P1916" s="2">
        <v>0</v>
      </c>
      <c r="Q1916" s="2">
        <v>0</v>
      </c>
      <c r="R1916" s="2">
        <v>0</v>
      </c>
      <c r="S1916" s="2">
        <v>0</v>
      </c>
      <c r="T1916" s="2">
        <v>0</v>
      </c>
      <c r="U1916" s="2">
        <v>0</v>
      </c>
      <c r="W1916" s="2">
        <v>0</v>
      </c>
      <c r="X1916" s="2">
        <v>757.1</v>
      </c>
    </row>
    <row r="1917" spans="1:24" x14ac:dyDescent="0.25">
      <c r="G1917" s="2" t="s">
        <v>3231</v>
      </c>
    </row>
    <row r="1918" spans="1:24" x14ac:dyDescent="0.25">
      <c r="A1918" s="2">
        <v>956</v>
      </c>
      <c r="B1918" s="2">
        <v>8231</v>
      </c>
      <c r="C1918" s="2" t="s">
        <v>3232</v>
      </c>
      <c r="D1918" s="2" t="s">
        <v>112</v>
      </c>
      <c r="E1918" s="2" t="s">
        <v>298</v>
      </c>
      <c r="F1918" s="2" t="s">
        <v>3233</v>
      </c>
      <c r="G1918" s="2">
        <v>756.8</v>
      </c>
      <c r="H1918" s="2">
        <v>0</v>
      </c>
      <c r="I1918" s="2">
        <v>0</v>
      </c>
      <c r="J1918" s="2">
        <v>0</v>
      </c>
      <c r="K1918" s="2">
        <v>0</v>
      </c>
      <c r="L1918" s="2">
        <v>0</v>
      </c>
      <c r="M1918" s="2">
        <v>0</v>
      </c>
      <c r="N1918" s="2">
        <v>0</v>
      </c>
      <c r="O1918" s="2">
        <v>0</v>
      </c>
      <c r="P1918" s="2">
        <v>0</v>
      </c>
      <c r="Q1918" s="2">
        <v>0</v>
      </c>
      <c r="R1918" s="2">
        <v>0</v>
      </c>
      <c r="S1918" s="2">
        <v>0</v>
      </c>
      <c r="T1918" s="2">
        <v>0</v>
      </c>
      <c r="U1918" s="2">
        <v>0</v>
      </c>
      <c r="W1918" s="2">
        <v>0</v>
      </c>
      <c r="X1918" s="2">
        <v>756.8</v>
      </c>
    </row>
    <row r="1919" spans="1:24" x14ac:dyDescent="0.25">
      <c r="G1919" s="2" t="s">
        <v>3234</v>
      </c>
    </row>
    <row r="1920" spans="1:24" x14ac:dyDescent="0.25">
      <c r="A1920" s="2">
        <v>957</v>
      </c>
      <c r="B1920" s="2">
        <v>13540</v>
      </c>
      <c r="C1920" s="2" t="s">
        <v>3235</v>
      </c>
      <c r="D1920" s="2" t="s">
        <v>1334</v>
      </c>
      <c r="E1920" s="2" t="s">
        <v>39</v>
      </c>
      <c r="F1920" s="2" t="s">
        <v>3236</v>
      </c>
      <c r="G1920" s="2">
        <v>726</v>
      </c>
      <c r="H1920" s="2">
        <v>0</v>
      </c>
      <c r="I1920" s="2">
        <v>0</v>
      </c>
      <c r="J1920" s="2">
        <v>0</v>
      </c>
      <c r="K1920" s="2">
        <v>0</v>
      </c>
      <c r="L1920" s="2">
        <v>0</v>
      </c>
      <c r="M1920" s="2">
        <v>30</v>
      </c>
      <c r="N1920" s="2">
        <v>0</v>
      </c>
      <c r="O1920" s="2">
        <v>0</v>
      </c>
      <c r="P1920" s="2">
        <v>0</v>
      </c>
      <c r="Q1920" s="2">
        <v>0</v>
      </c>
      <c r="R1920" s="2">
        <v>0</v>
      </c>
      <c r="S1920" s="2">
        <v>0</v>
      </c>
      <c r="T1920" s="2">
        <v>0</v>
      </c>
      <c r="U1920" s="2">
        <v>0</v>
      </c>
      <c r="W1920" s="2">
        <v>0</v>
      </c>
      <c r="X1920" s="2">
        <v>756</v>
      </c>
    </row>
    <row r="1921" spans="1:24" x14ac:dyDescent="0.25">
      <c r="G1921" s="2" t="s">
        <v>3237</v>
      </c>
    </row>
    <row r="1922" spans="1:24" x14ac:dyDescent="0.25">
      <c r="A1922" s="2">
        <v>958</v>
      </c>
      <c r="B1922" s="2">
        <v>10583</v>
      </c>
      <c r="C1922" s="2" t="s">
        <v>3238</v>
      </c>
      <c r="D1922" s="2" t="s">
        <v>90</v>
      </c>
      <c r="E1922" s="2" t="s">
        <v>39</v>
      </c>
      <c r="F1922" s="2" t="s">
        <v>3239</v>
      </c>
      <c r="G1922" s="2">
        <v>726</v>
      </c>
      <c r="H1922" s="2">
        <v>0</v>
      </c>
      <c r="I1922" s="2">
        <v>0</v>
      </c>
      <c r="J1922" s="2">
        <v>0</v>
      </c>
      <c r="K1922" s="2">
        <v>0</v>
      </c>
      <c r="L1922" s="2">
        <v>0</v>
      </c>
      <c r="M1922" s="2">
        <v>30</v>
      </c>
      <c r="N1922" s="2">
        <v>0</v>
      </c>
      <c r="O1922" s="2">
        <v>0</v>
      </c>
      <c r="P1922" s="2">
        <v>0</v>
      </c>
      <c r="Q1922" s="2">
        <v>0</v>
      </c>
      <c r="R1922" s="2">
        <v>0</v>
      </c>
      <c r="S1922" s="2">
        <v>0</v>
      </c>
      <c r="T1922" s="2">
        <v>0</v>
      </c>
      <c r="U1922" s="2">
        <v>0</v>
      </c>
      <c r="W1922" s="2">
        <v>0</v>
      </c>
      <c r="X1922" s="2">
        <v>756</v>
      </c>
    </row>
    <row r="1923" spans="1:24" x14ac:dyDescent="0.25">
      <c r="G1923" s="2" t="s">
        <v>3240</v>
      </c>
    </row>
    <row r="1924" spans="1:24" x14ac:dyDescent="0.25">
      <c r="A1924" s="2">
        <v>959</v>
      </c>
      <c r="B1924" s="2">
        <v>2073</v>
      </c>
      <c r="C1924" s="2" t="s">
        <v>3241</v>
      </c>
      <c r="D1924" s="2" t="s">
        <v>84</v>
      </c>
      <c r="E1924" s="2" t="s">
        <v>51</v>
      </c>
      <c r="F1924" s="2" t="s">
        <v>3242</v>
      </c>
      <c r="G1924" s="2">
        <v>726</v>
      </c>
      <c r="H1924" s="2">
        <v>0</v>
      </c>
      <c r="I1924" s="2">
        <v>0</v>
      </c>
      <c r="J1924" s="2">
        <v>0</v>
      </c>
      <c r="K1924" s="2">
        <v>0</v>
      </c>
      <c r="L1924" s="2">
        <v>0</v>
      </c>
      <c r="M1924" s="2">
        <v>30</v>
      </c>
      <c r="N1924" s="2">
        <v>0</v>
      </c>
      <c r="O1924" s="2">
        <v>0</v>
      </c>
      <c r="P1924" s="2">
        <v>0</v>
      </c>
      <c r="Q1924" s="2">
        <v>0</v>
      </c>
      <c r="R1924" s="2">
        <v>0</v>
      </c>
      <c r="S1924" s="2">
        <v>0</v>
      </c>
      <c r="T1924" s="2">
        <v>0</v>
      </c>
      <c r="U1924" s="2">
        <v>0</v>
      </c>
      <c r="W1924" s="2">
        <v>1</v>
      </c>
      <c r="X1924" s="2">
        <v>756</v>
      </c>
    </row>
    <row r="1925" spans="1:24" x14ac:dyDescent="0.25">
      <c r="G1925" s="2" t="s">
        <v>3243</v>
      </c>
    </row>
    <row r="1926" spans="1:24" x14ac:dyDescent="0.25">
      <c r="A1926" s="2">
        <v>960</v>
      </c>
      <c r="B1926" s="2">
        <v>7107</v>
      </c>
      <c r="C1926" s="2" t="s">
        <v>3244</v>
      </c>
      <c r="D1926" s="2" t="s">
        <v>193</v>
      </c>
      <c r="E1926" s="2" t="s">
        <v>16</v>
      </c>
      <c r="F1926" s="2" t="s">
        <v>3245</v>
      </c>
      <c r="G1926" s="2">
        <v>755.7</v>
      </c>
      <c r="H1926" s="2">
        <v>0</v>
      </c>
      <c r="I1926" s="2">
        <v>0</v>
      </c>
      <c r="J1926" s="2">
        <v>0</v>
      </c>
      <c r="K1926" s="2">
        <v>0</v>
      </c>
      <c r="L1926" s="2">
        <v>0</v>
      </c>
      <c r="M1926" s="2">
        <v>0</v>
      </c>
      <c r="N1926" s="2">
        <v>0</v>
      </c>
      <c r="O1926" s="2">
        <v>0</v>
      </c>
      <c r="P1926" s="2">
        <v>0</v>
      </c>
      <c r="Q1926" s="2">
        <v>0</v>
      </c>
      <c r="R1926" s="2">
        <v>0</v>
      </c>
      <c r="S1926" s="2">
        <v>0</v>
      </c>
      <c r="T1926" s="2">
        <v>0</v>
      </c>
      <c r="U1926" s="2">
        <v>0</v>
      </c>
      <c r="W1926" s="2">
        <v>2</v>
      </c>
      <c r="X1926" s="2">
        <v>755.7</v>
      </c>
    </row>
    <row r="1927" spans="1:24" x14ac:dyDescent="0.25">
      <c r="G1927" s="2" t="s">
        <v>3246</v>
      </c>
    </row>
    <row r="1928" spans="1:24" x14ac:dyDescent="0.25">
      <c r="A1928" s="2">
        <v>961</v>
      </c>
      <c r="B1928" s="2">
        <v>7123</v>
      </c>
      <c r="C1928" s="2" t="s">
        <v>3247</v>
      </c>
      <c r="D1928" s="2" t="s">
        <v>112</v>
      </c>
      <c r="E1928" s="2" t="s">
        <v>148</v>
      </c>
      <c r="F1928" s="2" t="s">
        <v>3248</v>
      </c>
      <c r="G1928" s="2">
        <v>755.7</v>
      </c>
      <c r="H1928" s="2">
        <v>0</v>
      </c>
      <c r="I1928" s="2">
        <v>0</v>
      </c>
      <c r="J1928" s="2">
        <v>0</v>
      </c>
      <c r="K1928" s="2">
        <v>0</v>
      </c>
      <c r="L1928" s="2">
        <v>0</v>
      </c>
      <c r="M1928" s="2">
        <v>0</v>
      </c>
      <c r="N1928" s="2">
        <v>0</v>
      </c>
      <c r="O1928" s="2">
        <v>0</v>
      </c>
      <c r="P1928" s="2">
        <v>0</v>
      </c>
      <c r="Q1928" s="2">
        <v>0</v>
      </c>
      <c r="R1928" s="2">
        <v>0</v>
      </c>
      <c r="S1928" s="2">
        <v>0</v>
      </c>
      <c r="T1928" s="2">
        <v>0</v>
      </c>
      <c r="U1928" s="2">
        <v>0</v>
      </c>
      <c r="W1928" s="2">
        <v>2</v>
      </c>
      <c r="X1928" s="2">
        <v>755.7</v>
      </c>
    </row>
    <row r="1929" spans="1:24" x14ac:dyDescent="0.25">
      <c r="G1929" s="2" t="s">
        <v>3249</v>
      </c>
    </row>
    <row r="1930" spans="1:24" x14ac:dyDescent="0.25">
      <c r="A1930" s="2">
        <v>962</v>
      </c>
      <c r="B1930" s="2">
        <v>7119</v>
      </c>
      <c r="C1930" s="2" t="s">
        <v>3250</v>
      </c>
      <c r="D1930" s="2" t="s">
        <v>73</v>
      </c>
      <c r="E1930" s="2" t="s">
        <v>39</v>
      </c>
      <c r="F1930" s="2" t="s">
        <v>3251</v>
      </c>
      <c r="G1930" s="2">
        <v>724.9</v>
      </c>
      <c r="H1930" s="2">
        <v>0</v>
      </c>
      <c r="I1930" s="2">
        <v>0</v>
      </c>
      <c r="J1930" s="2">
        <v>0</v>
      </c>
      <c r="K1930" s="2">
        <v>0</v>
      </c>
      <c r="L1930" s="2">
        <v>0</v>
      </c>
      <c r="M1930" s="2">
        <v>30</v>
      </c>
      <c r="N1930" s="2">
        <v>0</v>
      </c>
      <c r="O1930" s="2">
        <v>0</v>
      </c>
      <c r="P1930" s="2">
        <v>0</v>
      </c>
      <c r="Q1930" s="2">
        <v>0</v>
      </c>
      <c r="R1930" s="2">
        <v>0</v>
      </c>
      <c r="S1930" s="2">
        <v>0</v>
      </c>
      <c r="T1930" s="2">
        <v>0</v>
      </c>
      <c r="U1930" s="2">
        <v>0</v>
      </c>
      <c r="W1930" s="2">
        <v>0</v>
      </c>
      <c r="X1930" s="2">
        <v>754.9</v>
      </c>
    </row>
    <row r="1931" spans="1:24" x14ac:dyDescent="0.25">
      <c r="G1931" s="2" t="s">
        <v>3252</v>
      </c>
    </row>
    <row r="1932" spans="1:24" x14ac:dyDescent="0.25">
      <c r="A1932" s="2">
        <v>963</v>
      </c>
      <c r="B1932" s="2">
        <v>5203</v>
      </c>
      <c r="C1932" s="2" t="s">
        <v>3253</v>
      </c>
      <c r="D1932" s="2" t="s">
        <v>1943</v>
      </c>
      <c r="E1932" s="2" t="s">
        <v>90</v>
      </c>
      <c r="F1932" s="2" t="s">
        <v>3254</v>
      </c>
      <c r="G1932" s="2">
        <v>724.9</v>
      </c>
      <c r="H1932" s="2">
        <v>0</v>
      </c>
      <c r="I1932" s="2">
        <v>0</v>
      </c>
      <c r="J1932" s="2">
        <v>0</v>
      </c>
      <c r="K1932" s="2">
        <v>0</v>
      </c>
      <c r="L1932" s="2">
        <v>0</v>
      </c>
      <c r="M1932" s="2">
        <v>30</v>
      </c>
      <c r="N1932" s="2">
        <v>0</v>
      </c>
      <c r="O1932" s="2">
        <v>0</v>
      </c>
      <c r="P1932" s="2">
        <v>0</v>
      </c>
      <c r="Q1932" s="2">
        <v>0</v>
      </c>
      <c r="R1932" s="2">
        <v>0</v>
      </c>
      <c r="S1932" s="2">
        <v>0</v>
      </c>
      <c r="T1932" s="2">
        <v>0</v>
      </c>
      <c r="U1932" s="2">
        <v>0</v>
      </c>
      <c r="W1932" s="2">
        <v>0</v>
      </c>
      <c r="X1932" s="2">
        <v>754.9</v>
      </c>
    </row>
    <row r="1933" spans="1:24" x14ac:dyDescent="0.25">
      <c r="G1933" s="2" t="s">
        <v>3255</v>
      </c>
    </row>
    <row r="1934" spans="1:24" x14ac:dyDescent="0.25">
      <c r="A1934" s="2">
        <v>964</v>
      </c>
      <c r="B1934" s="2">
        <v>8949</v>
      </c>
      <c r="C1934" s="2" t="s">
        <v>3256</v>
      </c>
      <c r="D1934" s="2" t="s">
        <v>3257</v>
      </c>
      <c r="E1934" s="2" t="s">
        <v>204</v>
      </c>
      <c r="F1934" s="2" t="s">
        <v>3258</v>
      </c>
      <c r="G1934" s="2">
        <v>754.6</v>
      </c>
      <c r="H1934" s="2">
        <v>0</v>
      </c>
      <c r="I1934" s="2">
        <v>0</v>
      </c>
      <c r="J1934" s="2">
        <v>0</v>
      </c>
      <c r="K1934" s="2">
        <v>0</v>
      </c>
      <c r="L1934" s="2">
        <v>0</v>
      </c>
      <c r="M1934" s="2">
        <v>0</v>
      </c>
      <c r="N1934" s="2">
        <v>0</v>
      </c>
      <c r="O1934" s="2">
        <v>0</v>
      </c>
      <c r="P1934" s="2">
        <v>0</v>
      </c>
      <c r="Q1934" s="2">
        <v>0</v>
      </c>
      <c r="R1934" s="2">
        <v>0</v>
      </c>
      <c r="S1934" s="2">
        <v>0</v>
      </c>
      <c r="T1934" s="2">
        <v>0</v>
      </c>
      <c r="U1934" s="2">
        <v>0</v>
      </c>
      <c r="W1934" s="2">
        <v>0</v>
      </c>
      <c r="X1934" s="2">
        <v>754.6</v>
      </c>
    </row>
    <row r="1935" spans="1:24" x14ac:dyDescent="0.25">
      <c r="G1935" s="2" t="s">
        <v>3259</v>
      </c>
    </row>
    <row r="1936" spans="1:24" x14ac:dyDescent="0.25">
      <c r="A1936" s="2">
        <v>965</v>
      </c>
      <c r="B1936" s="2">
        <v>1607</v>
      </c>
      <c r="C1936" s="2" t="s">
        <v>1078</v>
      </c>
      <c r="D1936" s="2" t="s">
        <v>38</v>
      </c>
      <c r="E1936" s="2" t="s">
        <v>73</v>
      </c>
      <c r="F1936" s="2" t="s">
        <v>3260</v>
      </c>
      <c r="G1936" s="2">
        <v>754.6</v>
      </c>
      <c r="H1936" s="2">
        <v>0</v>
      </c>
      <c r="I1936" s="2">
        <v>0</v>
      </c>
      <c r="J1936" s="2">
        <v>0</v>
      </c>
      <c r="K1936" s="2">
        <v>0</v>
      </c>
      <c r="L1936" s="2">
        <v>0</v>
      </c>
      <c r="M1936" s="2">
        <v>0</v>
      </c>
      <c r="N1936" s="2">
        <v>0</v>
      </c>
      <c r="O1936" s="2">
        <v>0</v>
      </c>
      <c r="P1936" s="2">
        <v>0</v>
      </c>
      <c r="Q1936" s="2">
        <v>0</v>
      </c>
      <c r="R1936" s="2">
        <v>0</v>
      </c>
      <c r="S1936" s="2">
        <v>0</v>
      </c>
      <c r="T1936" s="2">
        <v>0</v>
      </c>
      <c r="U1936" s="2">
        <v>0</v>
      </c>
      <c r="W1936" s="2">
        <v>0</v>
      </c>
      <c r="X1936" s="2">
        <v>754.6</v>
      </c>
    </row>
    <row r="1937" spans="1:24" x14ac:dyDescent="0.25">
      <c r="G1937" s="2" t="s">
        <v>3261</v>
      </c>
    </row>
    <row r="1938" spans="1:24" x14ac:dyDescent="0.25">
      <c r="A1938" s="2">
        <v>966</v>
      </c>
      <c r="B1938" s="2">
        <v>16140</v>
      </c>
      <c r="C1938" s="2" t="s">
        <v>3262</v>
      </c>
      <c r="D1938" s="2" t="s">
        <v>50</v>
      </c>
      <c r="E1938" s="2" t="s">
        <v>2378</v>
      </c>
      <c r="F1938" s="2" t="s">
        <v>3263</v>
      </c>
      <c r="G1938" s="2">
        <v>754.6</v>
      </c>
      <c r="H1938" s="2">
        <v>0</v>
      </c>
      <c r="I1938" s="2">
        <v>0</v>
      </c>
      <c r="J1938" s="2">
        <v>0</v>
      </c>
      <c r="K1938" s="2">
        <v>0</v>
      </c>
      <c r="L1938" s="2">
        <v>0</v>
      </c>
      <c r="M1938" s="2">
        <v>0</v>
      </c>
      <c r="N1938" s="2">
        <v>0</v>
      </c>
      <c r="O1938" s="2">
        <v>0</v>
      </c>
      <c r="P1938" s="2">
        <v>0</v>
      </c>
      <c r="Q1938" s="2">
        <v>0</v>
      </c>
      <c r="R1938" s="2">
        <v>0</v>
      </c>
      <c r="S1938" s="2">
        <v>0</v>
      </c>
      <c r="T1938" s="2">
        <v>0</v>
      </c>
      <c r="U1938" s="2">
        <v>0</v>
      </c>
      <c r="W1938" s="2">
        <v>0</v>
      </c>
      <c r="X1938" s="2">
        <v>754.6</v>
      </c>
    </row>
    <row r="1939" spans="1:24" x14ac:dyDescent="0.25">
      <c r="G1939" s="2" t="s">
        <v>3264</v>
      </c>
    </row>
    <row r="1940" spans="1:24" x14ac:dyDescent="0.25">
      <c r="A1940" s="2">
        <v>967</v>
      </c>
      <c r="B1940" s="2">
        <v>3019</v>
      </c>
      <c r="C1940" s="2" t="s">
        <v>3265</v>
      </c>
      <c r="D1940" s="2" t="s">
        <v>98</v>
      </c>
      <c r="E1940" s="2" t="s">
        <v>194</v>
      </c>
      <c r="F1940" s="2" t="s">
        <v>3266</v>
      </c>
      <c r="G1940" s="2">
        <v>754.6</v>
      </c>
      <c r="H1940" s="2">
        <v>0</v>
      </c>
      <c r="I1940" s="2">
        <v>0</v>
      </c>
      <c r="J1940" s="2">
        <v>0</v>
      </c>
      <c r="K1940" s="2">
        <v>0</v>
      </c>
      <c r="L1940" s="2">
        <v>0</v>
      </c>
      <c r="M1940" s="2">
        <v>0</v>
      </c>
      <c r="N1940" s="2">
        <v>0</v>
      </c>
      <c r="O1940" s="2">
        <v>0</v>
      </c>
      <c r="P1940" s="2">
        <v>0</v>
      </c>
      <c r="Q1940" s="2">
        <v>0</v>
      </c>
      <c r="R1940" s="2">
        <v>0</v>
      </c>
      <c r="S1940" s="2">
        <v>0</v>
      </c>
      <c r="T1940" s="2">
        <v>0</v>
      </c>
      <c r="U1940" s="2">
        <v>0</v>
      </c>
      <c r="W1940" s="2">
        <v>1</v>
      </c>
      <c r="X1940" s="2">
        <v>754.6</v>
      </c>
    </row>
    <row r="1941" spans="1:24" x14ac:dyDescent="0.25">
      <c r="G1941" s="2" t="s">
        <v>3267</v>
      </c>
    </row>
    <row r="1942" spans="1:24" x14ac:dyDescent="0.25">
      <c r="A1942" s="2">
        <v>968</v>
      </c>
      <c r="B1942" s="2">
        <v>11593</v>
      </c>
      <c r="C1942" s="2" t="s">
        <v>3268</v>
      </c>
      <c r="D1942" s="2" t="s">
        <v>3269</v>
      </c>
      <c r="E1942" s="2" t="s">
        <v>73</v>
      </c>
      <c r="F1942" s="2" t="s">
        <v>3270</v>
      </c>
      <c r="G1942" s="2">
        <v>754.6</v>
      </c>
      <c r="H1942" s="2">
        <v>0</v>
      </c>
      <c r="I1942" s="2">
        <v>0</v>
      </c>
      <c r="J1942" s="2">
        <v>0</v>
      </c>
      <c r="K1942" s="2">
        <v>0</v>
      </c>
      <c r="L1942" s="2">
        <v>0</v>
      </c>
      <c r="M1942" s="2">
        <v>0</v>
      </c>
      <c r="N1942" s="2">
        <v>0</v>
      </c>
      <c r="O1942" s="2">
        <v>0</v>
      </c>
      <c r="P1942" s="2">
        <v>0</v>
      </c>
      <c r="Q1942" s="2">
        <v>0</v>
      </c>
      <c r="R1942" s="2">
        <v>0</v>
      </c>
      <c r="S1942" s="2">
        <v>0</v>
      </c>
      <c r="T1942" s="2">
        <v>0</v>
      </c>
      <c r="U1942" s="2">
        <v>0</v>
      </c>
      <c r="W1942" s="2">
        <v>0</v>
      </c>
      <c r="X1942" s="2">
        <v>754.6</v>
      </c>
    </row>
    <row r="1943" spans="1:24" x14ac:dyDescent="0.25">
      <c r="G1943" s="2" t="s">
        <v>3271</v>
      </c>
    </row>
    <row r="1944" spans="1:24" x14ac:dyDescent="0.25">
      <c r="A1944" s="2">
        <v>969</v>
      </c>
      <c r="B1944" s="2">
        <v>6445</v>
      </c>
      <c r="C1944" s="2" t="s">
        <v>3272</v>
      </c>
      <c r="D1944" s="2" t="s">
        <v>3067</v>
      </c>
      <c r="E1944" s="2" t="s">
        <v>204</v>
      </c>
      <c r="F1944" s="2" t="s">
        <v>3273</v>
      </c>
      <c r="G1944" s="2">
        <v>723.8</v>
      </c>
      <c r="H1944" s="2">
        <v>0</v>
      </c>
      <c r="I1944" s="2">
        <v>0</v>
      </c>
      <c r="J1944" s="2">
        <v>0</v>
      </c>
      <c r="K1944" s="2">
        <v>0</v>
      </c>
      <c r="L1944" s="2">
        <v>0</v>
      </c>
      <c r="M1944" s="2">
        <v>30</v>
      </c>
      <c r="N1944" s="2">
        <v>0</v>
      </c>
      <c r="O1944" s="2">
        <v>0</v>
      </c>
      <c r="P1944" s="2">
        <v>0</v>
      </c>
      <c r="Q1944" s="2">
        <v>0</v>
      </c>
      <c r="R1944" s="2">
        <v>0</v>
      </c>
      <c r="S1944" s="2">
        <v>0</v>
      </c>
      <c r="T1944" s="2">
        <v>0</v>
      </c>
      <c r="U1944" s="2">
        <v>0</v>
      </c>
      <c r="W1944" s="2">
        <v>0</v>
      </c>
      <c r="X1944" s="2">
        <v>753.8</v>
      </c>
    </row>
    <row r="1945" spans="1:24" x14ac:dyDescent="0.25">
      <c r="G1945" s="2" t="s">
        <v>3274</v>
      </c>
    </row>
    <row r="1946" spans="1:24" x14ac:dyDescent="0.25">
      <c r="A1946" s="2">
        <v>970</v>
      </c>
      <c r="B1946" s="2">
        <v>602</v>
      </c>
      <c r="C1946" s="2" t="s">
        <v>3275</v>
      </c>
      <c r="D1946" s="2" t="s">
        <v>2350</v>
      </c>
      <c r="E1946" s="2" t="s">
        <v>3276</v>
      </c>
      <c r="F1946" s="2" t="s">
        <v>3277</v>
      </c>
      <c r="G1946" s="2">
        <v>753.5</v>
      </c>
      <c r="H1946" s="2">
        <v>0</v>
      </c>
      <c r="I1946" s="2">
        <v>0</v>
      </c>
      <c r="J1946" s="2">
        <v>0</v>
      </c>
      <c r="K1946" s="2">
        <v>0</v>
      </c>
      <c r="L1946" s="2">
        <v>0</v>
      </c>
      <c r="M1946" s="2">
        <v>0</v>
      </c>
      <c r="N1946" s="2">
        <v>0</v>
      </c>
      <c r="O1946" s="2">
        <v>0</v>
      </c>
      <c r="P1946" s="2">
        <v>0</v>
      </c>
      <c r="Q1946" s="2">
        <v>0</v>
      </c>
      <c r="R1946" s="2">
        <v>0</v>
      </c>
      <c r="S1946" s="2">
        <v>0</v>
      </c>
      <c r="T1946" s="2">
        <v>0</v>
      </c>
      <c r="U1946" s="2">
        <v>0</v>
      </c>
      <c r="W1946" s="2">
        <v>0</v>
      </c>
      <c r="X1946" s="2">
        <v>753.5</v>
      </c>
    </row>
    <row r="1947" spans="1:24" x14ac:dyDescent="0.25">
      <c r="G1947" s="2" t="s">
        <v>3278</v>
      </c>
    </row>
    <row r="1948" spans="1:24" x14ac:dyDescent="0.25">
      <c r="A1948" s="2">
        <v>971</v>
      </c>
      <c r="B1948" s="2">
        <v>374</v>
      </c>
      <c r="C1948" s="2" t="s">
        <v>3061</v>
      </c>
      <c r="D1948" s="2" t="s">
        <v>235</v>
      </c>
      <c r="E1948" s="2" t="s">
        <v>148</v>
      </c>
      <c r="F1948" s="2" t="s">
        <v>3279</v>
      </c>
      <c r="G1948" s="2">
        <v>753.5</v>
      </c>
      <c r="H1948" s="2">
        <v>0</v>
      </c>
      <c r="I1948" s="2">
        <v>0</v>
      </c>
      <c r="J1948" s="2">
        <v>0</v>
      </c>
      <c r="K1948" s="2">
        <v>0</v>
      </c>
      <c r="L1948" s="2">
        <v>0</v>
      </c>
      <c r="M1948" s="2">
        <v>0</v>
      </c>
      <c r="N1948" s="2">
        <v>0</v>
      </c>
      <c r="O1948" s="2">
        <v>0</v>
      </c>
      <c r="P1948" s="2">
        <v>0</v>
      </c>
      <c r="Q1948" s="2">
        <v>0</v>
      </c>
      <c r="R1948" s="2">
        <v>0</v>
      </c>
      <c r="S1948" s="2">
        <v>0</v>
      </c>
      <c r="T1948" s="2">
        <v>0</v>
      </c>
      <c r="U1948" s="2">
        <v>0</v>
      </c>
      <c r="W1948" s="2">
        <v>0</v>
      </c>
      <c r="X1948" s="2">
        <v>753.5</v>
      </c>
    </row>
    <row r="1949" spans="1:24" x14ac:dyDescent="0.25">
      <c r="G1949" s="2" t="s">
        <v>3280</v>
      </c>
    </row>
    <row r="1950" spans="1:24" x14ac:dyDescent="0.25">
      <c r="A1950" s="2">
        <v>972</v>
      </c>
      <c r="B1950" s="2">
        <v>2373</v>
      </c>
      <c r="C1950" s="2" t="s">
        <v>3281</v>
      </c>
      <c r="D1950" s="2" t="s">
        <v>3282</v>
      </c>
      <c r="E1950" s="2" t="s">
        <v>3283</v>
      </c>
      <c r="F1950" s="2" t="s">
        <v>3284</v>
      </c>
      <c r="G1950" s="2">
        <v>753.5</v>
      </c>
      <c r="H1950" s="2">
        <v>0</v>
      </c>
      <c r="I1950" s="2">
        <v>0</v>
      </c>
      <c r="J1950" s="2">
        <v>0</v>
      </c>
      <c r="K1950" s="2">
        <v>0</v>
      </c>
      <c r="L1950" s="2">
        <v>0</v>
      </c>
      <c r="M1950" s="2">
        <v>0</v>
      </c>
      <c r="N1950" s="2">
        <v>0</v>
      </c>
      <c r="O1950" s="2">
        <v>0</v>
      </c>
      <c r="P1950" s="2">
        <v>0</v>
      </c>
      <c r="Q1950" s="2">
        <v>0</v>
      </c>
      <c r="R1950" s="2">
        <v>0</v>
      </c>
      <c r="S1950" s="2">
        <v>0</v>
      </c>
      <c r="T1950" s="2">
        <v>0</v>
      </c>
      <c r="U1950" s="2">
        <v>0</v>
      </c>
      <c r="W1950" s="2">
        <v>1</v>
      </c>
      <c r="X1950" s="2">
        <v>753.5</v>
      </c>
    </row>
    <row r="1951" spans="1:24" x14ac:dyDescent="0.25">
      <c r="G1951" s="2" t="s">
        <v>3285</v>
      </c>
    </row>
    <row r="1952" spans="1:24" x14ac:dyDescent="0.25">
      <c r="A1952" s="2">
        <v>973</v>
      </c>
      <c r="B1952" s="2">
        <v>11876</v>
      </c>
      <c r="C1952" s="2" t="s">
        <v>3286</v>
      </c>
      <c r="D1952" s="2" t="s">
        <v>318</v>
      </c>
      <c r="E1952" s="2" t="s">
        <v>73</v>
      </c>
      <c r="F1952" s="2" t="s">
        <v>3287</v>
      </c>
      <c r="G1952" s="2">
        <v>721.6</v>
      </c>
      <c r="H1952" s="2">
        <v>0</v>
      </c>
      <c r="I1952" s="2">
        <v>0</v>
      </c>
      <c r="J1952" s="2">
        <v>0</v>
      </c>
      <c r="K1952" s="2">
        <v>0</v>
      </c>
      <c r="L1952" s="2">
        <v>0</v>
      </c>
      <c r="M1952" s="2">
        <v>30</v>
      </c>
      <c r="N1952" s="2">
        <v>0</v>
      </c>
      <c r="O1952" s="2">
        <v>0</v>
      </c>
      <c r="P1952" s="2">
        <v>0</v>
      </c>
      <c r="Q1952" s="2">
        <v>0</v>
      </c>
      <c r="R1952" s="2">
        <v>0</v>
      </c>
      <c r="S1952" s="2">
        <v>0</v>
      </c>
      <c r="T1952" s="2">
        <v>0</v>
      </c>
      <c r="U1952" s="2">
        <v>0</v>
      </c>
      <c r="W1952" s="2">
        <v>0</v>
      </c>
      <c r="X1952" s="2">
        <v>751.6</v>
      </c>
    </row>
    <row r="1953" spans="1:24" x14ac:dyDescent="0.25">
      <c r="G1953" s="2" t="s">
        <v>3288</v>
      </c>
    </row>
    <row r="1954" spans="1:24" x14ac:dyDescent="0.25">
      <c r="A1954" s="2">
        <v>974</v>
      </c>
      <c r="B1954" s="2">
        <v>9805</v>
      </c>
      <c r="C1954" s="2" t="s">
        <v>3289</v>
      </c>
      <c r="D1954" s="2" t="s">
        <v>365</v>
      </c>
      <c r="E1954" s="2" t="s">
        <v>199</v>
      </c>
      <c r="F1954" s="2" t="s">
        <v>3290</v>
      </c>
      <c r="G1954" s="2">
        <v>721.6</v>
      </c>
      <c r="H1954" s="2">
        <v>0</v>
      </c>
      <c r="I1954" s="2">
        <v>0</v>
      </c>
      <c r="J1954" s="2">
        <v>0</v>
      </c>
      <c r="K1954" s="2">
        <v>0</v>
      </c>
      <c r="L1954" s="2">
        <v>0</v>
      </c>
      <c r="M1954" s="2">
        <v>30</v>
      </c>
      <c r="N1954" s="2">
        <v>0</v>
      </c>
      <c r="O1954" s="2">
        <v>0</v>
      </c>
      <c r="P1954" s="2">
        <v>0</v>
      </c>
      <c r="Q1954" s="2">
        <v>0</v>
      </c>
      <c r="R1954" s="2">
        <v>0</v>
      </c>
      <c r="S1954" s="2">
        <v>0</v>
      </c>
      <c r="T1954" s="2">
        <v>0</v>
      </c>
      <c r="U1954" s="2">
        <v>0</v>
      </c>
      <c r="W1954" s="2">
        <v>0</v>
      </c>
      <c r="X1954" s="2">
        <v>751.6</v>
      </c>
    </row>
    <row r="1955" spans="1:24" x14ac:dyDescent="0.25">
      <c r="G1955" s="2" t="s">
        <v>3291</v>
      </c>
    </row>
    <row r="1956" spans="1:24" x14ac:dyDescent="0.25">
      <c r="A1956" s="2">
        <v>975</v>
      </c>
      <c r="B1956" s="2">
        <v>11584</v>
      </c>
      <c r="C1956" s="2" t="s">
        <v>3292</v>
      </c>
      <c r="D1956" s="2" t="s">
        <v>2938</v>
      </c>
      <c r="E1956" s="2" t="s">
        <v>39</v>
      </c>
      <c r="F1956" s="2" t="s">
        <v>3293</v>
      </c>
      <c r="G1956" s="2">
        <v>721.6</v>
      </c>
      <c r="H1956" s="2">
        <v>0</v>
      </c>
      <c r="I1956" s="2">
        <v>0</v>
      </c>
      <c r="J1956" s="2">
        <v>0</v>
      </c>
      <c r="K1956" s="2">
        <v>0</v>
      </c>
      <c r="L1956" s="2">
        <v>0</v>
      </c>
      <c r="M1956" s="2">
        <v>30</v>
      </c>
      <c r="N1956" s="2">
        <v>0</v>
      </c>
      <c r="O1956" s="2">
        <v>0</v>
      </c>
      <c r="P1956" s="2">
        <v>0</v>
      </c>
      <c r="Q1956" s="2">
        <v>0</v>
      </c>
      <c r="R1956" s="2">
        <v>0</v>
      </c>
      <c r="S1956" s="2">
        <v>0</v>
      </c>
      <c r="T1956" s="2">
        <v>0</v>
      </c>
      <c r="U1956" s="2">
        <v>0</v>
      </c>
      <c r="W1956" s="2">
        <v>0</v>
      </c>
      <c r="X1956" s="2">
        <v>751.6</v>
      </c>
    </row>
    <row r="1957" spans="1:24" x14ac:dyDescent="0.25">
      <c r="G1957" s="2" t="s">
        <v>3294</v>
      </c>
    </row>
    <row r="1958" spans="1:24" x14ac:dyDescent="0.25">
      <c r="A1958" s="2">
        <v>976</v>
      </c>
      <c r="B1958" s="2">
        <v>4639</v>
      </c>
      <c r="C1958" s="2" t="s">
        <v>3295</v>
      </c>
      <c r="D1958" s="2" t="s">
        <v>98</v>
      </c>
      <c r="E1958" s="2" t="s">
        <v>411</v>
      </c>
      <c r="F1958" s="2" t="s">
        <v>3296</v>
      </c>
      <c r="G1958" s="2">
        <v>751.3</v>
      </c>
      <c r="H1958" s="2">
        <v>0</v>
      </c>
      <c r="I1958" s="2">
        <v>0</v>
      </c>
      <c r="J1958" s="2">
        <v>0</v>
      </c>
      <c r="K1958" s="2">
        <v>0</v>
      </c>
      <c r="L1958" s="2">
        <v>0</v>
      </c>
      <c r="M1958" s="2">
        <v>0</v>
      </c>
      <c r="N1958" s="2">
        <v>0</v>
      </c>
      <c r="O1958" s="2">
        <v>0</v>
      </c>
      <c r="P1958" s="2">
        <v>0</v>
      </c>
      <c r="Q1958" s="2">
        <v>0</v>
      </c>
      <c r="R1958" s="2">
        <v>0</v>
      </c>
      <c r="S1958" s="2">
        <v>0</v>
      </c>
      <c r="T1958" s="2">
        <v>0</v>
      </c>
      <c r="U1958" s="2">
        <v>0</v>
      </c>
      <c r="W1958" s="2">
        <v>0</v>
      </c>
      <c r="X1958" s="2">
        <v>751.3</v>
      </c>
    </row>
    <row r="1959" spans="1:24" x14ac:dyDescent="0.25">
      <c r="G1959" s="2" t="s">
        <v>3297</v>
      </c>
    </row>
    <row r="1960" spans="1:24" x14ac:dyDescent="0.25">
      <c r="A1960" s="2">
        <v>977</v>
      </c>
      <c r="B1960" s="2">
        <v>13988</v>
      </c>
      <c r="C1960" s="2" t="s">
        <v>1574</v>
      </c>
      <c r="D1960" s="2" t="s">
        <v>275</v>
      </c>
      <c r="E1960" s="2" t="s">
        <v>39</v>
      </c>
      <c r="F1960" s="2" t="s">
        <v>3298</v>
      </c>
      <c r="G1960" s="2">
        <v>751.3</v>
      </c>
      <c r="H1960" s="2">
        <v>0</v>
      </c>
      <c r="I1960" s="2">
        <v>0</v>
      </c>
      <c r="J1960" s="2">
        <v>0</v>
      </c>
      <c r="K1960" s="2">
        <v>0</v>
      </c>
      <c r="L1960" s="2">
        <v>0</v>
      </c>
      <c r="M1960" s="2">
        <v>0</v>
      </c>
      <c r="N1960" s="2">
        <v>0</v>
      </c>
      <c r="O1960" s="2">
        <v>0</v>
      </c>
      <c r="P1960" s="2">
        <v>0</v>
      </c>
      <c r="Q1960" s="2">
        <v>0</v>
      </c>
      <c r="R1960" s="2">
        <v>0</v>
      </c>
      <c r="S1960" s="2">
        <v>0</v>
      </c>
      <c r="T1960" s="2">
        <v>0</v>
      </c>
      <c r="U1960" s="2">
        <v>0</v>
      </c>
      <c r="W1960" s="2">
        <v>1</v>
      </c>
      <c r="X1960" s="2">
        <v>751.3</v>
      </c>
    </row>
    <row r="1961" spans="1:24" x14ac:dyDescent="0.25">
      <c r="G1961" s="2" t="s">
        <v>3299</v>
      </c>
    </row>
    <row r="1962" spans="1:24" x14ac:dyDescent="0.25">
      <c r="A1962" s="2">
        <v>978</v>
      </c>
      <c r="B1962" s="2">
        <v>13714</v>
      </c>
      <c r="C1962" s="2" t="s">
        <v>421</v>
      </c>
      <c r="D1962" s="2" t="s">
        <v>1259</v>
      </c>
      <c r="E1962" s="2" t="s">
        <v>3300</v>
      </c>
      <c r="F1962" s="2" t="s">
        <v>3301</v>
      </c>
      <c r="G1962" s="2">
        <v>750.2</v>
      </c>
      <c r="H1962" s="2">
        <v>0</v>
      </c>
      <c r="I1962" s="2">
        <v>0</v>
      </c>
      <c r="J1962" s="2">
        <v>0</v>
      </c>
      <c r="K1962" s="2">
        <v>0</v>
      </c>
      <c r="L1962" s="2">
        <v>0</v>
      </c>
      <c r="M1962" s="2">
        <v>0</v>
      </c>
      <c r="N1962" s="2">
        <v>0</v>
      </c>
      <c r="O1962" s="2">
        <v>0</v>
      </c>
      <c r="P1962" s="2">
        <v>0</v>
      </c>
      <c r="Q1962" s="2">
        <v>0</v>
      </c>
      <c r="R1962" s="2">
        <v>0</v>
      </c>
      <c r="S1962" s="2">
        <v>0</v>
      </c>
      <c r="T1962" s="2">
        <v>0</v>
      </c>
      <c r="U1962" s="2">
        <v>0</v>
      </c>
      <c r="W1962" s="2">
        <v>0</v>
      </c>
      <c r="X1962" s="2">
        <v>750.2</v>
      </c>
    </row>
    <row r="1963" spans="1:24" x14ac:dyDescent="0.25">
      <c r="G1963" s="2" t="s">
        <v>3302</v>
      </c>
    </row>
    <row r="1964" spans="1:24" x14ac:dyDescent="0.25">
      <c r="A1964" s="2">
        <v>979</v>
      </c>
      <c r="B1964" s="2">
        <v>1436</v>
      </c>
      <c r="C1964" s="2" t="s">
        <v>3303</v>
      </c>
      <c r="D1964" s="2" t="s">
        <v>56</v>
      </c>
      <c r="E1964" s="2" t="s">
        <v>39</v>
      </c>
      <c r="F1964" s="2">
        <v>375892</v>
      </c>
      <c r="G1964" s="2">
        <v>750.2</v>
      </c>
      <c r="H1964" s="2">
        <v>0</v>
      </c>
      <c r="I1964" s="2">
        <v>0</v>
      </c>
      <c r="J1964" s="2">
        <v>0</v>
      </c>
      <c r="K1964" s="2">
        <v>0</v>
      </c>
      <c r="L1964" s="2">
        <v>0</v>
      </c>
      <c r="M1964" s="2">
        <v>0</v>
      </c>
      <c r="N1964" s="2">
        <v>0</v>
      </c>
      <c r="O1964" s="2">
        <v>0</v>
      </c>
      <c r="P1964" s="2">
        <v>0</v>
      </c>
      <c r="Q1964" s="2">
        <v>0</v>
      </c>
      <c r="R1964" s="2">
        <v>0</v>
      </c>
      <c r="S1964" s="2">
        <v>0</v>
      </c>
      <c r="T1964" s="2">
        <v>0</v>
      </c>
      <c r="U1964" s="2">
        <v>0</v>
      </c>
      <c r="W1964" s="2">
        <v>0</v>
      </c>
      <c r="X1964" s="2">
        <v>750.2</v>
      </c>
    </row>
    <row r="1965" spans="1:24" x14ac:dyDescent="0.25">
      <c r="G1965" s="2" t="s">
        <v>3280</v>
      </c>
    </row>
    <row r="1966" spans="1:24" x14ac:dyDescent="0.25">
      <c r="A1966" s="2">
        <v>980</v>
      </c>
      <c r="B1966" s="2">
        <v>13808</v>
      </c>
      <c r="C1966" s="2" t="s">
        <v>3304</v>
      </c>
      <c r="D1966" s="2" t="s">
        <v>39</v>
      </c>
      <c r="E1966" s="2" t="s">
        <v>84</v>
      </c>
      <c r="F1966" s="2" t="s">
        <v>3305</v>
      </c>
      <c r="G1966" s="2">
        <v>719.4</v>
      </c>
      <c r="H1966" s="2">
        <v>0</v>
      </c>
      <c r="I1966" s="2">
        <v>0</v>
      </c>
      <c r="J1966" s="2">
        <v>0</v>
      </c>
      <c r="K1966" s="2">
        <v>0</v>
      </c>
      <c r="L1966" s="2">
        <v>0</v>
      </c>
      <c r="M1966" s="2">
        <v>30</v>
      </c>
      <c r="N1966" s="2">
        <v>0</v>
      </c>
      <c r="O1966" s="2">
        <v>0</v>
      </c>
      <c r="P1966" s="2">
        <v>0</v>
      </c>
      <c r="Q1966" s="2">
        <v>0</v>
      </c>
      <c r="R1966" s="2">
        <v>0</v>
      </c>
      <c r="S1966" s="2">
        <v>0</v>
      </c>
      <c r="T1966" s="2">
        <v>0</v>
      </c>
      <c r="U1966" s="2">
        <v>0</v>
      </c>
      <c r="W1966" s="2">
        <v>0</v>
      </c>
      <c r="X1966" s="2">
        <v>749.4</v>
      </c>
    </row>
    <row r="1967" spans="1:24" x14ac:dyDescent="0.25">
      <c r="G1967" s="2" t="s">
        <v>3306</v>
      </c>
    </row>
    <row r="1968" spans="1:24" x14ac:dyDescent="0.25">
      <c r="A1968" s="2">
        <v>981</v>
      </c>
      <c r="B1968" s="2">
        <v>16470</v>
      </c>
      <c r="C1968" s="2" t="s">
        <v>3307</v>
      </c>
      <c r="D1968" s="2" t="s">
        <v>415</v>
      </c>
      <c r="E1968" s="2" t="s">
        <v>965</v>
      </c>
      <c r="F1968" s="2" t="s">
        <v>3308</v>
      </c>
      <c r="G1968" s="2">
        <v>719.4</v>
      </c>
      <c r="H1968" s="2">
        <v>0</v>
      </c>
      <c r="I1968" s="2">
        <v>0</v>
      </c>
      <c r="J1968" s="2">
        <v>0</v>
      </c>
      <c r="K1968" s="2">
        <v>0</v>
      </c>
      <c r="L1968" s="2">
        <v>0</v>
      </c>
      <c r="M1968" s="2">
        <v>30</v>
      </c>
      <c r="N1968" s="2">
        <v>0</v>
      </c>
      <c r="O1968" s="2">
        <v>0</v>
      </c>
      <c r="P1968" s="2">
        <v>0</v>
      </c>
      <c r="Q1968" s="2">
        <v>0</v>
      </c>
      <c r="R1968" s="2">
        <v>0</v>
      </c>
      <c r="S1968" s="2">
        <v>0</v>
      </c>
      <c r="T1968" s="2">
        <v>0</v>
      </c>
      <c r="U1968" s="2">
        <v>0</v>
      </c>
      <c r="W1968" s="2">
        <v>0</v>
      </c>
      <c r="X1968" s="2">
        <v>749.4</v>
      </c>
    </row>
    <row r="1969" spans="1:24" x14ac:dyDescent="0.25">
      <c r="G1969" s="2" t="s">
        <v>3309</v>
      </c>
    </row>
    <row r="1970" spans="1:24" x14ac:dyDescent="0.25">
      <c r="A1970" s="2">
        <v>982</v>
      </c>
      <c r="B1970" s="2">
        <v>14226</v>
      </c>
      <c r="C1970" s="2" t="s">
        <v>3310</v>
      </c>
      <c r="D1970" s="2" t="s">
        <v>1560</v>
      </c>
      <c r="E1970" s="2" t="s">
        <v>16</v>
      </c>
      <c r="F1970" s="2" t="s">
        <v>3311</v>
      </c>
      <c r="G1970" s="2">
        <v>749.1</v>
      </c>
      <c r="H1970" s="2">
        <v>0</v>
      </c>
      <c r="I1970" s="2">
        <v>0</v>
      </c>
      <c r="J1970" s="2">
        <v>0</v>
      </c>
      <c r="K1970" s="2">
        <v>0</v>
      </c>
      <c r="L1970" s="2">
        <v>0</v>
      </c>
      <c r="M1970" s="2">
        <v>0</v>
      </c>
      <c r="N1970" s="2">
        <v>0</v>
      </c>
      <c r="O1970" s="2">
        <v>0</v>
      </c>
      <c r="P1970" s="2">
        <v>0</v>
      </c>
      <c r="Q1970" s="2">
        <v>0</v>
      </c>
      <c r="R1970" s="2">
        <v>0</v>
      </c>
      <c r="S1970" s="2">
        <v>0</v>
      </c>
      <c r="T1970" s="2">
        <v>0</v>
      </c>
      <c r="U1970" s="2">
        <v>0</v>
      </c>
      <c r="W1970" s="2">
        <v>0</v>
      </c>
      <c r="X1970" s="2">
        <v>749.1</v>
      </c>
    </row>
    <row r="1971" spans="1:24" x14ac:dyDescent="0.25">
      <c r="G1971" s="2" t="s">
        <v>3312</v>
      </c>
    </row>
    <row r="1972" spans="1:24" x14ac:dyDescent="0.25">
      <c r="A1972" s="2">
        <v>983</v>
      </c>
      <c r="B1972" s="2">
        <v>2136</v>
      </c>
      <c r="C1972" s="2" t="s">
        <v>3313</v>
      </c>
      <c r="D1972" s="2" t="s">
        <v>178</v>
      </c>
      <c r="E1972" s="2" t="s">
        <v>113</v>
      </c>
      <c r="F1972" s="2" t="s">
        <v>3314</v>
      </c>
      <c r="G1972" s="2">
        <v>717.2</v>
      </c>
      <c r="H1972" s="2">
        <v>0</v>
      </c>
      <c r="I1972" s="2">
        <v>0</v>
      </c>
      <c r="J1972" s="2">
        <v>0</v>
      </c>
      <c r="K1972" s="2">
        <v>0</v>
      </c>
      <c r="L1972" s="2">
        <v>0</v>
      </c>
      <c r="M1972" s="2">
        <v>30</v>
      </c>
      <c r="N1972" s="2">
        <v>0</v>
      </c>
      <c r="O1972" s="2">
        <v>0</v>
      </c>
      <c r="P1972" s="2">
        <v>0</v>
      </c>
      <c r="Q1972" s="2">
        <v>0</v>
      </c>
      <c r="R1972" s="2">
        <v>0</v>
      </c>
      <c r="S1972" s="2">
        <v>0</v>
      </c>
      <c r="T1972" s="2">
        <v>0</v>
      </c>
      <c r="U1972" s="2">
        <v>0</v>
      </c>
      <c r="W1972" s="2">
        <v>0</v>
      </c>
      <c r="X1972" s="2">
        <v>747.2</v>
      </c>
    </row>
    <row r="1973" spans="1:24" x14ac:dyDescent="0.25">
      <c r="G1973" s="2" t="s">
        <v>3315</v>
      </c>
    </row>
    <row r="1974" spans="1:24" x14ac:dyDescent="0.25">
      <c r="A1974" s="2">
        <v>984</v>
      </c>
      <c r="B1974" s="2">
        <v>2765</v>
      </c>
      <c r="C1974" s="2" t="s">
        <v>3316</v>
      </c>
      <c r="D1974" s="2" t="s">
        <v>73</v>
      </c>
      <c r="E1974" s="2" t="s">
        <v>39</v>
      </c>
      <c r="F1974" s="2" t="s">
        <v>3317</v>
      </c>
      <c r="G1974" s="2">
        <v>746.9</v>
      </c>
      <c r="H1974" s="2">
        <v>0</v>
      </c>
      <c r="I1974" s="2">
        <v>0</v>
      </c>
      <c r="J1974" s="2">
        <v>0</v>
      </c>
      <c r="K1974" s="2">
        <v>0</v>
      </c>
      <c r="L1974" s="2">
        <v>0</v>
      </c>
      <c r="M1974" s="2">
        <v>0</v>
      </c>
      <c r="N1974" s="2">
        <v>0</v>
      </c>
      <c r="O1974" s="2">
        <v>0</v>
      </c>
      <c r="P1974" s="2">
        <v>0</v>
      </c>
      <c r="Q1974" s="2">
        <v>0</v>
      </c>
      <c r="R1974" s="2">
        <v>0</v>
      </c>
      <c r="S1974" s="2">
        <v>0</v>
      </c>
      <c r="T1974" s="2">
        <v>0</v>
      </c>
      <c r="U1974" s="2">
        <v>0</v>
      </c>
      <c r="W1974" s="2">
        <v>0</v>
      </c>
      <c r="X1974" s="2">
        <v>746.9</v>
      </c>
    </row>
    <row r="1975" spans="1:24" x14ac:dyDescent="0.25">
      <c r="G1975" s="2" t="s">
        <v>3318</v>
      </c>
    </row>
    <row r="1976" spans="1:24" x14ac:dyDescent="0.25">
      <c r="A1976" s="2">
        <v>985</v>
      </c>
      <c r="B1976" s="2">
        <v>1722</v>
      </c>
      <c r="C1976" s="2" t="s">
        <v>3319</v>
      </c>
      <c r="D1976" s="2" t="s">
        <v>571</v>
      </c>
      <c r="E1976" s="2" t="s">
        <v>194</v>
      </c>
      <c r="F1976" s="2" t="s">
        <v>3320</v>
      </c>
      <c r="G1976" s="2">
        <v>746.9</v>
      </c>
      <c r="H1976" s="2">
        <v>0</v>
      </c>
      <c r="I1976" s="2">
        <v>0</v>
      </c>
      <c r="J1976" s="2">
        <v>0</v>
      </c>
      <c r="K1976" s="2">
        <v>0</v>
      </c>
      <c r="L1976" s="2">
        <v>0</v>
      </c>
      <c r="M1976" s="2">
        <v>0</v>
      </c>
      <c r="N1976" s="2">
        <v>0</v>
      </c>
      <c r="O1976" s="2">
        <v>0</v>
      </c>
      <c r="P1976" s="2">
        <v>0</v>
      </c>
      <c r="Q1976" s="2">
        <v>0</v>
      </c>
      <c r="R1976" s="2">
        <v>0</v>
      </c>
      <c r="S1976" s="2">
        <v>0</v>
      </c>
      <c r="T1976" s="2">
        <v>0</v>
      </c>
      <c r="U1976" s="2">
        <v>0</v>
      </c>
      <c r="W1976" s="2">
        <v>0</v>
      </c>
      <c r="X1976" s="2">
        <v>746.9</v>
      </c>
    </row>
    <row r="1977" spans="1:24" x14ac:dyDescent="0.25">
      <c r="G1977" s="2" t="s">
        <v>3321</v>
      </c>
    </row>
    <row r="1978" spans="1:24" x14ac:dyDescent="0.25">
      <c r="A1978" s="2">
        <v>986</v>
      </c>
      <c r="B1978" s="2">
        <v>6978</v>
      </c>
      <c r="C1978" s="2" t="s">
        <v>3322</v>
      </c>
      <c r="D1978" s="2" t="s">
        <v>3323</v>
      </c>
      <c r="E1978" s="2" t="s">
        <v>138</v>
      </c>
      <c r="F1978" s="2" t="s">
        <v>3324</v>
      </c>
      <c r="G1978" s="2">
        <v>746.9</v>
      </c>
      <c r="H1978" s="2">
        <v>0</v>
      </c>
      <c r="I1978" s="2">
        <v>0</v>
      </c>
      <c r="J1978" s="2">
        <v>0</v>
      </c>
      <c r="K1978" s="2">
        <v>0</v>
      </c>
      <c r="L1978" s="2">
        <v>0</v>
      </c>
      <c r="M1978" s="2">
        <v>0</v>
      </c>
      <c r="N1978" s="2">
        <v>0</v>
      </c>
      <c r="O1978" s="2">
        <v>0</v>
      </c>
      <c r="P1978" s="2">
        <v>0</v>
      </c>
      <c r="Q1978" s="2">
        <v>0</v>
      </c>
      <c r="R1978" s="2">
        <v>0</v>
      </c>
      <c r="S1978" s="2">
        <v>0</v>
      </c>
      <c r="T1978" s="2">
        <v>0</v>
      </c>
      <c r="U1978" s="2">
        <v>0</v>
      </c>
      <c r="W1978" s="2">
        <v>0</v>
      </c>
      <c r="X1978" s="2">
        <v>746.9</v>
      </c>
    </row>
    <row r="1979" spans="1:24" x14ac:dyDescent="0.25">
      <c r="G1979" s="2" t="s">
        <v>3325</v>
      </c>
    </row>
    <row r="1980" spans="1:24" x14ac:dyDescent="0.25">
      <c r="A1980" s="2">
        <v>987</v>
      </c>
      <c r="B1980" s="2">
        <v>14143</v>
      </c>
      <c r="C1980" s="2" t="s">
        <v>3326</v>
      </c>
      <c r="D1980" s="2" t="s">
        <v>44</v>
      </c>
      <c r="E1980" s="2" t="s">
        <v>84</v>
      </c>
      <c r="F1980" s="2" t="s">
        <v>3327</v>
      </c>
      <c r="G1980" s="2">
        <v>746.9</v>
      </c>
      <c r="H1980" s="2">
        <v>0</v>
      </c>
      <c r="I1980" s="2">
        <v>0</v>
      </c>
      <c r="J1980" s="2">
        <v>0</v>
      </c>
      <c r="K1980" s="2">
        <v>0</v>
      </c>
      <c r="L1980" s="2">
        <v>0</v>
      </c>
      <c r="M1980" s="2">
        <v>0</v>
      </c>
      <c r="N1980" s="2">
        <v>0</v>
      </c>
      <c r="O1980" s="2">
        <v>0</v>
      </c>
      <c r="P1980" s="2">
        <v>0</v>
      </c>
      <c r="Q1980" s="2">
        <v>0</v>
      </c>
      <c r="R1980" s="2">
        <v>0</v>
      </c>
      <c r="S1980" s="2">
        <v>0</v>
      </c>
      <c r="T1980" s="2">
        <v>0</v>
      </c>
      <c r="U1980" s="2">
        <v>0</v>
      </c>
      <c r="W1980" s="2">
        <v>0</v>
      </c>
      <c r="X1980" s="2">
        <v>746.9</v>
      </c>
    </row>
    <row r="1981" spans="1:24" x14ac:dyDescent="0.25">
      <c r="G1981" s="2" t="s">
        <v>3328</v>
      </c>
    </row>
    <row r="1982" spans="1:24" x14ac:dyDescent="0.25">
      <c r="A1982" s="2">
        <v>988</v>
      </c>
      <c r="B1982" s="2">
        <v>11004</v>
      </c>
      <c r="C1982" s="2" t="s">
        <v>3085</v>
      </c>
      <c r="D1982" s="2" t="s">
        <v>39</v>
      </c>
      <c r="E1982" s="2" t="s">
        <v>126</v>
      </c>
      <c r="F1982" s="2" t="s">
        <v>3329</v>
      </c>
      <c r="G1982" s="2">
        <v>745.8</v>
      </c>
      <c r="H1982" s="2">
        <v>0</v>
      </c>
      <c r="I1982" s="2">
        <v>0</v>
      </c>
      <c r="J1982" s="2">
        <v>0</v>
      </c>
      <c r="K1982" s="2">
        <v>0</v>
      </c>
      <c r="L1982" s="2">
        <v>0</v>
      </c>
      <c r="M1982" s="2">
        <v>0</v>
      </c>
      <c r="N1982" s="2">
        <v>0</v>
      </c>
      <c r="O1982" s="2">
        <v>0</v>
      </c>
      <c r="P1982" s="2">
        <v>0</v>
      </c>
      <c r="Q1982" s="2">
        <v>0</v>
      </c>
      <c r="R1982" s="2">
        <v>0</v>
      </c>
      <c r="S1982" s="2">
        <v>0</v>
      </c>
      <c r="T1982" s="2">
        <v>0</v>
      </c>
      <c r="U1982" s="2">
        <v>0</v>
      </c>
      <c r="W1982" s="2">
        <v>0</v>
      </c>
      <c r="X1982" s="2">
        <v>745.8</v>
      </c>
    </row>
    <row r="1983" spans="1:24" x14ac:dyDescent="0.25">
      <c r="G1983" s="2" t="s">
        <v>3330</v>
      </c>
    </row>
    <row r="1984" spans="1:24" x14ac:dyDescent="0.25">
      <c r="A1984" s="2">
        <v>989</v>
      </c>
      <c r="B1984" s="2">
        <v>4759</v>
      </c>
      <c r="C1984" s="2" t="s">
        <v>1491</v>
      </c>
      <c r="D1984" s="2" t="s">
        <v>3331</v>
      </c>
      <c r="E1984" s="2" t="s">
        <v>39</v>
      </c>
      <c r="F1984" s="2" t="s">
        <v>3332</v>
      </c>
      <c r="G1984" s="2">
        <v>715</v>
      </c>
      <c r="H1984" s="2">
        <v>0</v>
      </c>
      <c r="I1984" s="2">
        <v>0</v>
      </c>
      <c r="J1984" s="2">
        <v>0</v>
      </c>
      <c r="K1984" s="2">
        <v>0</v>
      </c>
      <c r="L1984" s="2">
        <v>0</v>
      </c>
      <c r="M1984" s="2">
        <v>30</v>
      </c>
      <c r="N1984" s="2">
        <v>0</v>
      </c>
      <c r="O1984" s="2">
        <v>0</v>
      </c>
      <c r="P1984" s="2">
        <v>0</v>
      </c>
      <c r="Q1984" s="2">
        <v>0</v>
      </c>
      <c r="R1984" s="2">
        <v>0</v>
      </c>
      <c r="S1984" s="2">
        <v>0</v>
      </c>
      <c r="T1984" s="2">
        <v>0</v>
      </c>
      <c r="U1984" s="2">
        <v>0</v>
      </c>
      <c r="W1984" s="2">
        <v>0</v>
      </c>
      <c r="X1984" s="2">
        <v>745</v>
      </c>
    </row>
    <row r="1985" spans="1:24" x14ac:dyDescent="0.25">
      <c r="G1985" s="2" t="s">
        <v>3333</v>
      </c>
    </row>
    <row r="1986" spans="1:24" x14ac:dyDescent="0.25">
      <c r="A1986" s="2">
        <v>990</v>
      </c>
      <c r="B1986" s="2">
        <v>2035</v>
      </c>
      <c r="C1986" s="2" t="s">
        <v>1920</v>
      </c>
      <c r="D1986" s="2" t="s">
        <v>1502</v>
      </c>
      <c r="E1986" s="2" t="s">
        <v>39</v>
      </c>
      <c r="F1986" s="2" t="s">
        <v>3334</v>
      </c>
      <c r="G1986" s="2">
        <v>715</v>
      </c>
      <c r="H1986" s="2">
        <v>0</v>
      </c>
      <c r="I1986" s="2">
        <v>0</v>
      </c>
      <c r="J1986" s="2">
        <v>0</v>
      </c>
      <c r="K1986" s="2">
        <v>0</v>
      </c>
      <c r="L1986" s="2">
        <v>0</v>
      </c>
      <c r="M1986" s="2">
        <v>30</v>
      </c>
      <c r="N1986" s="2">
        <v>0</v>
      </c>
      <c r="O1986" s="2">
        <v>0</v>
      </c>
      <c r="P1986" s="2">
        <v>0</v>
      </c>
      <c r="Q1986" s="2">
        <v>0</v>
      </c>
      <c r="R1986" s="2">
        <v>0</v>
      </c>
      <c r="S1986" s="2">
        <v>0</v>
      </c>
      <c r="T1986" s="2">
        <v>0</v>
      </c>
      <c r="U1986" s="2">
        <v>0</v>
      </c>
      <c r="W1986" s="2">
        <v>0</v>
      </c>
      <c r="X1986" s="2">
        <v>745</v>
      </c>
    </row>
    <row r="1987" spans="1:24" x14ac:dyDescent="0.25">
      <c r="G1987" s="2" t="s">
        <v>3335</v>
      </c>
    </row>
    <row r="1988" spans="1:24" x14ac:dyDescent="0.25">
      <c r="A1988" s="2">
        <v>991</v>
      </c>
      <c r="B1988" s="2">
        <v>10530</v>
      </c>
      <c r="C1988" s="2" t="s">
        <v>3336</v>
      </c>
      <c r="D1988" s="2" t="s">
        <v>3337</v>
      </c>
      <c r="E1988" s="2" t="s">
        <v>39</v>
      </c>
      <c r="F1988" s="2" t="s">
        <v>3338</v>
      </c>
      <c r="G1988" s="2">
        <v>744.7</v>
      </c>
      <c r="H1988" s="2">
        <v>0</v>
      </c>
      <c r="I1988" s="2">
        <v>0</v>
      </c>
      <c r="J1988" s="2">
        <v>0</v>
      </c>
      <c r="K1988" s="2">
        <v>0</v>
      </c>
      <c r="L1988" s="2">
        <v>0</v>
      </c>
      <c r="M1988" s="2">
        <v>0</v>
      </c>
      <c r="N1988" s="2">
        <v>0</v>
      </c>
      <c r="O1988" s="2">
        <v>0</v>
      </c>
      <c r="P1988" s="2">
        <v>0</v>
      </c>
      <c r="Q1988" s="2">
        <v>0</v>
      </c>
      <c r="R1988" s="2">
        <v>0</v>
      </c>
      <c r="S1988" s="2">
        <v>0</v>
      </c>
      <c r="T1988" s="2">
        <v>0</v>
      </c>
      <c r="U1988" s="2">
        <v>0</v>
      </c>
      <c r="W1988" s="2">
        <v>0</v>
      </c>
      <c r="X1988" s="2">
        <v>744.7</v>
      </c>
    </row>
    <row r="1989" spans="1:24" x14ac:dyDescent="0.25">
      <c r="G1989" s="2" t="s">
        <v>3339</v>
      </c>
    </row>
    <row r="1990" spans="1:24" x14ac:dyDescent="0.25">
      <c r="A1990" s="2">
        <v>992</v>
      </c>
      <c r="B1990" s="2">
        <v>12434</v>
      </c>
      <c r="C1990" s="2" t="s">
        <v>3340</v>
      </c>
      <c r="D1990" s="2" t="s">
        <v>194</v>
      </c>
      <c r="E1990" s="2" t="s">
        <v>73</v>
      </c>
      <c r="F1990" s="2" t="s">
        <v>3341</v>
      </c>
      <c r="G1990" s="2">
        <v>744.7</v>
      </c>
      <c r="H1990" s="2">
        <v>0</v>
      </c>
      <c r="I1990" s="2">
        <v>0</v>
      </c>
      <c r="J1990" s="2">
        <v>0</v>
      </c>
      <c r="K1990" s="2">
        <v>0</v>
      </c>
      <c r="L1990" s="2">
        <v>0</v>
      </c>
      <c r="M1990" s="2">
        <v>0</v>
      </c>
      <c r="N1990" s="2">
        <v>0</v>
      </c>
      <c r="O1990" s="2">
        <v>0</v>
      </c>
      <c r="P1990" s="2">
        <v>0</v>
      </c>
      <c r="Q1990" s="2">
        <v>0</v>
      </c>
      <c r="R1990" s="2">
        <v>0</v>
      </c>
      <c r="S1990" s="2">
        <v>0</v>
      </c>
      <c r="T1990" s="2">
        <v>0</v>
      </c>
      <c r="U1990" s="2">
        <v>0</v>
      </c>
      <c r="W1990" s="2">
        <v>0</v>
      </c>
      <c r="X1990" s="2">
        <v>744.7</v>
      </c>
    </row>
    <row r="1991" spans="1:24" x14ac:dyDescent="0.25">
      <c r="G1991" s="2" t="s">
        <v>3342</v>
      </c>
    </row>
    <row r="1992" spans="1:24" x14ac:dyDescent="0.25">
      <c r="A1992" s="2">
        <v>993</v>
      </c>
      <c r="B1992" s="2">
        <v>3853</v>
      </c>
      <c r="C1992" s="2" t="s">
        <v>3164</v>
      </c>
      <c r="D1992" s="2" t="s">
        <v>264</v>
      </c>
      <c r="E1992" s="2" t="s">
        <v>73</v>
      </c>
      <c r="F1992" s="2" t="s">
        <v>3343</v>
      </c>
      <c r="G1992" s="2">
        <v>743.6</v>
      </c>
      <c r="H1992" s="2">
        <v>0</v>
      </c>
      <c r="I1992" s="2">
        <v>0</v>
      </c>
      <c r="J1992" s="2">
        <v>0</v>
      </c>
      <c r="K1992" s="2">
        <v>0</v>
      </c>
      <c r="L1992" s="2">
        <v>0</v>
      </c>
      <c r="M1992" s="2">
        <v>0</v>
      </c>
      <c r="N1992" s="2">
        <v>0</v>
      </c>
      <c r="O1992" s="2">
        <v>0</v>
      </c>
      <c r="P1992" s="2">
        <v>0</v>
      </c>
      <c r="Q1992" s="2">
        <v>0</v>
      </c>
      <c r="R1992" s="2">
        <v>0</v>
      </c>
      <c r="S1992" s="2">
        <v>0</v>
      </c>
      <c r="T1992" s="2">
        <v>0</v>
      </c>
      <c r="U1992" s="2">
        <v>0</v>
      </c>
      <c r="W1992" s="2">
        <v>0</v>
      </c>
      <c r="X1992" s="2">
        <v>743.6</v>
      </c>
    </row>
    <row r="1993" spans="1:24" x14ac:dyDescent="0.25">
      <c r="G1993" s="2" t="s">
        <v>3344</v>
      </c>
    </row>
    <row r="1994" spans="1:24" x14ac:dyDescent="0.25">
      <c r="A1994" s="2">
        <v>994</v>
      </c>
      <c r="B1994" s="2">
        <v>17195</v>
      </c>
      <c r="C1994" s="2" t="s">
        <v>736</v>
      </c>
      <c r="D1994" s="2" t="s">
        <v>3345</v>
      </c>
      <c r="E1994" s="2" t="s">
        <v>39</v>
      </c>
      <c r="F1994" s="2" t="s">
        <v>3346</v>
      </c>
      <c r="G1994" s="2">
        <v>743.6</v>
      </c>
      <c r="H1994" s="2">
        <v>0</v>
      </c>
      <c r="I1994" s="2">
        <v>0</v>
      </c>
      <c r="J1994" s="2">
        <v>0</v>
      </c>
      <c r="K1994" s="2">
        <v>0</v>
      </c>
      <c r="L1994" s="2">
        <v>0</v>
      </c>
      <c r="M1994" s="2">
        <v>0</v>
      </c>
      <c r="N1994" s="2">
        <v>0</v>
      </c>
      <c r="O1994" s="2">
        <v>0</v>
      </c>
      <c r="P1994" s="2">
        <v>0</v>
      </c>
      <c r="Q1994" s="2">
        <v>0</v>
      </c>
      <c r="R1994" s="2">
        <v>0</v>
      </c>
      <c r="S1994" s="2">
        <v>0</v>
      </c>
      <c r="T1994" s="2">
        <v>0</v>
      </c>
      <c r="U1994" s="2">
        <v>0</v>
      </c>
      <c r="W1994" s="2">
        <v>0</v>
      </c>
      <c r="X1994" s="2">
        <v>743.6</v>
      </c>
    </row>
    <row r="1995" spans="1:24" x14ac:dyDescent="0.25">
      <c r="G1995" s="2" t="s">
        <v>3347</v>
      </c>
    </row>
    <row r="1996" spans="1:24" x14ac:dyDescent="0.25">
      <c r="A1996" s="2">
        <v>995</v>
      </c>
      <c r="B1996" s="2">
        <v>8620</v>
      </c>
      <c r="C1996" s="2" t="s">
        <v>2246</v>
      </c>
      <c r="D1996" s="2" t="s">
        <v>275</v>
      </c>
      <c r="E1996" s="2" t="s">
        <v>78</v>
      </c>
      <c r="F1996" s="2" t="s">
        <v>3348</v>
      </c>
      <c r="G1996" s="2">
        <v>743.6</v>
      </c>
      <c r="H1996" s="2">
        <v>0</v>
      </c>
      <c r="I1996" s="2">
        <v>0</v>
      </c>
      <c r="J1996" s="2">
        <v>0</v>
      </c>
      <c r="K1996" s="2">
        <v>0</v>
      </c>
      <c r="L1996" s="2">
        <v>0</v>
      </c>
      <c r="M1996" s="2">
        <v>0</v>
      </c>
      <c r="N1996" s="2">
        <v>0</v>
      </c>
      <c r="O1996" s="2">
        <v>0</v>
      </c>
      <c r="P1996" s="2">
        <v>0</v>
      </c>
      <c r="Q1996" s="2">
        <v>0</v>
      </c>
      <c r="R1996" s="2">
        <v>0</v>
      </c>
      <c r="S1996" s="2">
        <v>0</v>
      </c>
      <c r="T1996" s="2">
        <v>0</v>
      </c>
      <c r="U1996" s="2">
        <v>0</v>
      </c>
      <c r="W1996" s="2">
        <v>1</v>
      </c>
      <c r="X1996" s="2">
        <v>743.6</v>
      </c>
    </row>
    <row r="1997" spans="1:24" x14ac:dyDescent="0.25">
      <c r="G1997" s="2" t="s">
        <v>3349</v>
      </c>
    </row>
    <row r="1998" spans="1:24" x14ac:dyDescent="0.25">
      <c r="A1998" s="2">
        <v>996</v>
      </c>
      <c r="B1998" s="2">
        <v>3954</v>
      </c>
      <c r="C1998" s="2" t="s">
        <v>3350</v>
      </c>
      <c r="D1998" s="2" t="s">
        <v>279</v>
      </c>
      <c r="E1998" s="2" t="s">
        <v>73</v>
      </c>
      <c r="F1998" s="2" t="s">
        <v>3351</v>
      </c>
      <c r="G1998" s="2">
        <v>712.8</v>
      </c>
      <c r="H1998" s="2">
        <v>0</v>
      </c>
      <c r="I1998" s="2">
        <v>0</v>
      </c>
      <c r="J1998" s="2">
        <v>0</v>
      </c>
      <c r="K1998" s="2">
        <v>0</v>
      </c>
      <c r="L1998" s="2">
        <v>0</v>
      </c>
      <c r="M1998" s="2">
        <v>30</v>
      </c>
      <c r="N1998" s="2">
        <v>0</v>
      </c>
      <c r="O1998" s="2">
        <v>0</v>
      </c>
      <c r="P1998" s="2">
        <v>0</v>
      </c>
      <c r="Q1998" s="2">
        <v>0</v>
      </c>
      <c r="R1998" s="2">
        <v>0</v>
      </c>
      <c r="S1998" s="2">
        <v>0</v>
      </c>
      <c r="T1998" s="2">
        <v>0</v>
      </c>
      <c r="U1998" s="2">
        <v>0</v>
      </c>
      <c r="W1998" s="2">
        <v>0</v>
      </c>
      <c r="X1998" s="2">
        <v>742.8</v>
      </c>
    </row>
    <row r="1999" spans="1:24" x14ac:dyDescent="0.25">
      <c r="G1999" s="2" t="s">
        <v>3352</v>
      </c>
    </row>
    <row r="2000" spans="1:24" x14ac:dyDescent="0.25">
      <c r="A2000" s="2">
        <v>997</v>
      </c>
      <c r="B2000" s="2">
        <v>15253</v>
      </c>
      <c r="C2000" s="2" t="s">
        <v>3353</v>
      </c>
      <c r="D2000" s="2" t="s">
        <v>138</v>
      </c>
      <c r="E2000" s="2" t="s">
        <v>148</v>
      </c>
      <c r="F2000" s="2" t="s">
        <v>3354</v>
      </c>
      <c r="G2000" s="2">
        <v>742.5</v>
      </c>
      <c r="H2000" s="2">
        <v>0</v>
      </c>
      <c r="I2000" s="2">
        <v>0</v>
      </c>
      <c r="J2000" s="2">
        <v>0</v>
      </c>
      <c r="K2000" s="2">
        <v>0</v>
      </c>
      <c r="L2000" s="2">
        <v>0</v>
      </c>
      <c r="M2000" s="2">
        <v>0</v>
      </c>
      <c r="N2000" s="2">
        <v>0</v>
      </c>
      <c r="O2000" s="2">
        <v>0</v>
      </c>
      <c r="P2000" s="2">
        <v>0</v>
      </c>
      <c r="Q2000" s="2">
        <v>0</v>
      </c>
      <c r="R2000" s="2">
        <v>0</v>
      </c>
      <c r="S2000" s="2">
        <v>0</v>
      </c>
      <c r="T2000" s="2">
        <v>0</v>
      </c>
      <c r="U2000" s="2">
        <v>0</v>
      </c>
      <c r="W2000" s="2">
        <v>0</v>
      </c>
      <c r="X2000" s="2">
        <v>742.5</v>
      </c>
    </row>
    <row r="2001" spans="1:24" x14ac:dyDescent="0.25">
      <c r="G2001" s="2" t="s">
        <v>3355</v>
      </c>
    </row>
    <row r="2002" spans="1:24" x14ac:dyDescent="0.25">
      <c r="A2002" s="2">
        <v>998</v>
      </c>
      <c r="B2002" s="2">
        <v>9194</v>
      </c>
      <c r="C2002" s="2" t="s">
        <v>3356</v>
      </c>
      <c r="D2002" s="2" t="s">
        <v>108</v>
      </c>
      <c r="E2002" s="2" t="s">
        <v>73</v>
      </c>
      <c r="F2002" s="2" t="s">
        <v>3357</v>
      </c>
      <c r="G2002" s="2">
        <v>741.4</v>
      </c>
      <c r="H2002" s="2">
        <v>0</v>
      </c>
      <c r="I2002" s="2">
        <v>0</v>
      </c>
      <c r="J2002" s="2">
        <v>0</v>
      </c>
      <c r="K2002" s="2">
        <v>0</v>
      </c>
      <c r="L2002" s="2">
        <v>0</v>
      </c>
      <c r="M2002" s="2">
        <v>0</v>
      </c>
      <c r="N2002" s="2">
        <v>0</v>
      </c>
      <c r="O2002" s="2">
        <v>0</v>
      </c>
      <c r="P2002" s="2">
        <v>0</v>
      </c>
      <c r="Q2002" s="2">
        <v>0</v>
      </c>
      <c r="R2002" s="2">
        <v>0</v>
      </c>
      <c r="S2002" s="2">
        <v>0</v>
      </c>
      <c r="T2002" s="2">
        <v>0</v>
      </c>
      <c r="U2002" s="2">
        <v>0</v>
      </c>
      <c r="W2002" s="2">
        <v>0</v>
      </c>
      <c r="X2002" s="2">
        <v>741.4</v>
      </c>
    </row>
    <row r="2003" spans="1:24" x14ac:dyDescent="0.25">
      <c r="G2003" s="2" t="s">
        <v>3358</v>
      </c>
    </row>
    <row r="2004" spans="1:24" x14ac:dyDescent="0.25">
      <c r="A2004" s="2">
        <v>999</v>
      </c>
      <c r="B2004" s="2">
        <v>9486</v>
      </c>
      <c r="C2004" s="2" t="s">
        <v>3359</v>
      </c>
      <c r="D2004" s="2" t="s">
        <v>687</v>
      </c>
      <c r="E2004" s="2" t="s">
        <v>148</v>
      </c>
      <c r="F2004" s="2" t="s">
        <v>3360</v>
      </c>
      <c r="G2004" s="2">
        <v>740.3</v>
      </c>
      <c r="H2004" s="2">
        <v>0</v>
      </c>
      <c r="I2004" s="2">
        <v>0</v>
      </c>
      <c r="J2004" s="2">
        <v>0</v>
      </c>
      <c r="K2004" s="2">
        <v>0</v>
      </c>
      <c r="L2004" s="2">
        <v>0</v>
      </c>
      <c r="M2004" s="2">
        <v>0</v>
      </c>
      <c r="N2004" s="2">
        <v>0</v>
      </c>
      <c r="O2004" s="2">
        <v>0</v>
      </c>
      <c r="P2004" s="2">
        <v>0</v>
      </c>
      <c r="Q2004" s="2">
        <v>0</v>
      </c>
      <c r="R2004" s="2">
        <v>0</v>
      </c>
      <c r="S2004" s="2">
        <v>0</v>
      </c>
      <c r="T2004" s="2">
        <v>0</v>
      </c>
      <c r="U2004" s="2">
        <v>0</v>
      </c>
      <c r="W2004" s="2">
        <v>0</v>
      </c>
      <c r="X2004" s="2">
        <v>740.3</v>
      </c>
    </row>
    <row r="2005" spans="1:24" x14ac:dyDescent="0.25">
      <c r="G2005" s="2" t="s">
        <v>3361</v>
      </c>
    </row>
    <row r="2006" spans="1:24" x14ac:dyDescent="0.25">
      <c r="A2006" s="2">
        <v>1000</v>
      </c>
      <c r="B2006" s="2">
        <v>11606</v>
      </c>
      <c r="C2006" s="2" t="s">
        <v>3362</v>
      </c>
      <c r="D2006" s="2" t="s">
        <v>3363</v>
      </c>
      <c r="E2006" s="2" t="s">
        <v>3364</v>
      </c>
      <c r="F2006" s="2" t="s">
        <v>3365</v>
      </c>
      <c r="G2006" s="2">
        <v>740.3</v>
      </c>
      <c r="H2006" s="2">
        <v>0</v>
      </c>
      <c r="I2006" s="2">
        <v>0</v>
      </c>
      <c r="J2006" s="2">
        <v>0</v>
      </c>
      <c r="K2006" s="2">
        <v>0</v>
      </c>
      <c r="L2006" s="2">
        <v>0</v>
      </c>
      <c r="M2006" s="2">
        <v>0</v>
      </c>
      <c r="N2006" s="2">
        <v>0</v>
      </c>
      <c r="O2006" s="2">
        <v>0</v>
      </c>
      <c r="P2006" s="2">
        <v>0</v>
      </c>
      <c r="Q2006" s="2">
        <v>0</v>
      </c>
      <c r="R2006" s="2">
        <v>0</v>
      </c>
      <c r="S2006" s="2">
        <v>0</v>
      </c>
      <c r="T2006" s="2">
        <v>0</v>
      </c>
      <c r="U2006" s="2">
        <v>0</v>
      </c>
      <c r="W2006" s="2">
        <v>0</v>
      </c>
      <c r="X2006" s="2">
        <v>740.3</v>
      </c>
    </row>
    <row r="2007" spans="1:24" x14ac:dyDescent="0.25">
      <c r="G2007" s="2" t="s">
        <v>3366</v>
      </c>
    </row>
    <row r="2008" spans="1:24" x14ac:dyDescent="0.25">
      <c r="A2008" s="2">
        <v>1001</v>
      </c>
      <c r="B2008" s="2">
        <v>17585</v>
      </c>
      <c r="C2008" s="2" t="s">
        <v>634</v>
      </c>
      <c r="D2008" s="2" t="s">
        <v>89</v>
      </c>
      <c r="E2008" s="2" t="s">
        <v>39</v>
      </c>
      <c r="F2008" s="2" t="s">
        <v>3367</v>
      </c>
      <c r="G2008" s="2">
        <v>739.2</v>
      </c>
      <c r="H2008" s="2">
        <v>0</v>
      </c>
      <c r="I2008" s="2">
        <v>0</v>
      </c>
      <c r="J2008" s="2">
        <v>0</v>
      </c>
      <c r="K2008" s="2">
        <v>0</v>
      </c>
      <c r="L2008" s="2">
        <v>0</v>
      </c>
      <c r="M2008" s="2">
        <v>0</v>
      </c>
      <c r="N2008" s="2">
        <v>0</v>
      </c>
      <c r="O2008" s="2">
        <v>0</v>
      </c>
      <c r="P2008" s="2">
        <v>0</v>
      </c>
      <c r="Q2008" s="2">
        <v>0</v>
      </c>
      <c r="R2008" s="2">
        <v>0</v>
      </c>
      <c r="S2008" s="2">
        <v>0</v>
      </c>
      <c r="T2008" s="2">
        <v>0</v>
      </c>
      <c r="U2008" s="2">
        <v>0</v>
      </c>
      <c r="W2008" s="2">
        <v>0</v>
      </c>
      <c r="X2008" s="2">
        <v>739.2</v>
      </c>
    </row>
    <row r="2009" spans="1:24" x14ac:dyDescent="0.25">
      <c r="G2009" s="2" t="s">
        <v>3368</v>
      </c>
    </row>
    <row r="2010" spans="1:24" x14ac:dyDescent="0.25">
      <c r="A2010" s="2">
        <v>1002</v>
      </c>
      <c r="B2010" s="2">
        <v>11021</v>
      </c>
      <c r="C2010" s="2" t="s">
        <v>3369</v>
      </c>
      <c r="D2010" s="2" t="s">
        <v>279</v>
      </c>
      <c r="E2010" s="2" t="s">
        <v>39</v>
      </c>
      <c r="F2010" s="2" t="s">
        <v>3370</v>
      </c>
      <c r="G2010" s="2">
        <v>708.4</v>
      </c>
      <c r="H2010" s="2">
        <v>0</v>
      </c>
      <c r="I2010" s="2">
        <v>0</v>
      </c>
      <c r="J2010" s="2">
        <v>0</v>
      </c>
      <c r="K2010" s="2">
        <v>0</v>
      </c>
      <c r="L2010" s="2">
        <v>0</v>
      </c>
      <c r="M2010" s="2">
        <v>0</v>
      </c>
      <c r="N2010" s="2">
        <v>30</v>
      </c>
      <c r="O2010" s="2">
        <v>0</v>
      </c>
      <c r="P2010" s="2">
        <v>0</v>
      </c>
      <c r="Q2010" s="2">
        <v>0</v>
      </c>
      <c r="R2010" s="2">
        <v>0</v>
      </c>
      <c r="S2010" s="2">
        <v>0</v>
      </c>
      <c r="T2010" s="2">
        <v>0</v>
      </c>
      <c r="U2010" s="2">
        <v>0</v>
      </c>
      <c r="W2010" s="2">
        <v>0</v>
      </c>
      <c r="X2010" s="2">
        <v>738.4</v>
      </c>
    </row>
    <row r="2011" spans="1:24" x14ac:dyDescent="0.25">
      <c r="G2011" s="2" t="s">
        <v>3371</v>
      </c>
    </row>
    <row r="2012" spans="1:24" x14ac:dyDescent="0.25">
      <c r="A2012" s="2">
        <v>1003</v>
      </c>
      <c r="B2012" s="2">
        <v>14706</v>
      </c>
      <c r="C2012" s="2" t="s">
        <v>3372</v>
      </c>
      <c r="D2012" s="2" t="s">
        <v>2915</v>
      </c>
      <c r="E2012" s="2" t="s">
        <v>84</v>
      </c>
      <c r="F2012" s="2" t="s">
        <v>3373</v>
      </c>
      <c r="G2012" s="2">
        <v>738.1</v>
      </c>
      <c r="H2012" s="2">
        <v>0</v>
      </c>
      <c r="I2012" s="2">
        <v>0</v>
      </c>
      <c r="J2012" s="2">
        <v>0</v>
      </c>
      <c r="K2012" s="2">
        <v>0</v>
      </c>
      <c r="L2012" s="2">
        <v>0</v>
      </c>
      <c r="M2012" s="2">
        <v>0</v>
      </c>
      <c r="N2012" s="2">
        <v>0</v>
      </c>
      <c r="O2012" s="2">
        <v>0</v>
      </c>
      <c r="P2012" s="2">
        <v>0</v>
      </c>
      <c r="Q2012" s="2">
        <v>0</v>
      </c>
      <c r="R2012" s="2">
        <v>0</v>
      </c>
      <c r="S2012" s="2">
        <v>0</v>
      </c>
      <c r="T2012" s="2">
        <v>0</v>
      </c>
      <c r="U2012" s="2">
        <v>0</v>
      </c>
      <c r="W2012" s="2">
        <v>0</v>
      </c>
      <c r="X2012" s="2">
        <v>738.1</v>
      </c>
    </row>
    <row r="2013" spans="1:24" x14ac:dyDescent="0.25">
      <c r="G2013" s="2" t="s">
        <v>3374</v>
      </c>
    </row>
    <row r="2014" spans="1:24" x14ac:dyDescent="0.25">
      <c r="A2014" s="2">
        <v>1004</v>
      </c>
      <c r="B2014" s="2">
        <v>2679</v>
      </c>
      <c r="C2014" s="2" t="s">
        <v>3376</v>
      </c>
      <c r="D2014" s="2" t="s">
        <v>1677</v>
      </c>
      <c r="E2014" s="2" t="s">
        <v>829</v>
      </c>
      <c r="F2014" s="2" t="s">
        <v>3377</v>
      </c>
      <c r="G2014" s="2">
        <v>738.1</v>
      </c>
      <c r="H2014" s="2">
        <v>0</v>
      </c>
      <c r="I2014" s="2">
        <v>0</v>
      </c>
      <c r="J2014" s="2">
        <v>0</v>
      </c>
      <c r="K2014" s="2">
        <v>0</v>
      </c>
      <c r="L2014" s="2">
        <v>0</v>
      </c>
      <c r="M2014" s="2">
        <v>0</v>
      </c>
      <c r="N2014" s="2">
        <v>0</v>
      </c>
      <c r="O2014" s="2">
        <v>0</v>
      </c>
      <c r="P2014" s="2">
        <v>0</v>
      </c>
      <c r="Q2014" s="2">
        <v>0</v>
      </c>
      <c r="R2014" s="2">
        <v>0</v>
      </c>
      <c r="S2014" s="2">
        <v>0</v>
      </c>
      <c r="T2014" s="2">
        <v>0</v>
      </c>
      <c r="U2014" s="2">
        <v>0</v>
      </c>
      <c r="W2014" s="2">
        <v>0</v>
      </c>
      <c r="X2014" s="2">
        <v>738.1</v>
      </c>
    </row>
    <row r="2015" spans="1:24" x14ac:dyDescent="0.25">
      <c r="G2015" s="2" t="s">
        <v>3378</v>
      </c>
    </row>
    <row r="2016" spans="1:24" x14ac:dyDescent="0.25">
      <c r="A2016" s="2">
        <v>1005</v>
      </c>
      <c r="B2016" s="2">
        <v>10653</v>
      </c>
      <c r="C2016" s="2" t="s">
        <v>1048</v>
      </c>
      <c r="D2016" s="2" t="s">
        <v>1155</v>
      </c>
      <c r="E2016" s="2" t="s">
        <v>456</v>
      </c>
      <c r="F2016" s="2" t="s">
        <v>3379</v>
      </c>
      <c r="G2016" s="2">
        <v>737</v>
      </c>
      <c r="H2016" s="2">
        <v>0</v>
      </c>
      <c r="I2016" s="2">
        <v>0</v>
      </c>
      <c r="J2016" s="2">
        <v>0</v>
      </c>
      <c r="K2016" s="2">
        <v>0</v>
      </c>
      <c r="L2016" s="2">
        <v>0</v>
      </c>
      <c r="M2016" s="2">
        <v>0</v>
      </c>
      <c r="N2016" s="2">
        <v>0</v>
      </c>
      <c r="O2016" s="2">
        <v>0</v>
      </c>
      <c r="P2016" s="2">
        <v>0</v>
      </c>
      <c r="Q2016" s="2">
        <v>0</v>
      </c>
      <c r="R2016" s="2">
        <v>0</v>
      </c>
      <c r="S2016" s="2">
        <v>0</v>
      </c>
      <c r="T2016" s="2">
        <v>0</v>
      </c>
      <c r="U2016" s="2">
        <v>0</v>
      </c>
      <c r="W2016" s="2">
        <v>1</v>
      </c>
      <c r="X2016" s="2">
        <v>737</v>
      </c>
    </row>
    <row r="2017" spans="1:24" x14ac:dyDescent="0.25">
      <c r="G2017" s="2" t="s">
        <v>3380</v>
      </c>
    </row>
    <row r="2018" spans="1:24" x14ac:dyDescent="0.25">
      <c r="A2018" s="2">
        <v>1006</v>
      </c>
      <c r="B2018" s="2">
        <v>11489</v>
      </c>
      <c r="C2018" s="2" t="s">
        <v>787</v>
      </c>
      <c r="D2018" s="2" t="s">
        <v>248</v>
      </c>
      <c r="E2018" s="2" t="s">
        <v>16</v>
      </c>
      <c r="F2018" s="2" t="s">
        <v>3381</v>
      </c>
      <c r="G2018" s="2">
        <v>737</v>
      </c>
      <c r="H2018" s="2">
        <v>0</v>
      </c>
      <c r="I2018" s="2">
        <v>0</v>
      </c>
      <c r="J2018" s="2">
        <v>0</v>
      </c>
      <c r="K2018" s="2">
        <v>0</v>
      </c>
      <c r="L2018" s="2">
        <v>0</v>
      </c>
      <c r="M2018" s="2">
        <v>0</v>
      </c>
      <c r="N2018" s="2">
        <v>0</v>
      </c>
      <c r="O2018" s="2">
        <v>0</v>
      </c>
      <c r="P2018" s="2">
        <v>0</v>
      </c>
      <c r="Q2018" s="2">
        <v>0</v>
      </c>
      <c r="R2018" s="2">
        <v>0</v>
      </c>
      <c r="S2018" s="2">
        <v>0</v>
      </c>
      <c r="T2018" s="2">
        <v>0</v>
      </c>
      <c r="U2018" s="2">
        <v>0</v>
      </c>
      <c r="W2018" s="2">
        <v>0</v>
      </c>
      <c r="X2018" s="2">
        <v>737</v>
      </c>
    </row>
    <row r="2019" spans="1:24" x14ac:dyDescent="0.25">
      <c r="G2019" s="2" t="s">
        <v>3382</v>
      </c>
    </row>
    <row r="2020" spans="1:24" x14ac:dyDescent="0.25">
      <c r="A2020" s="2">
        <v>1007</v>
      </c>
      <c r="B2020" s="2">
        <v>2029</v>
      </c>
      <c r="C2020" s="2" t="s">
        <v>3383</v>
      </c>
      <c r="D2020" s="2" t="s">
        <v>723</v>
      </c>
      <c r="E2020" s="2" t="s">
        <v>346</v>
      </c>
      <c r="F2020" s="2" t="s">
        <v>3384</v>
      </c>
      <c r="G2020" s="2">
        <v>737</v>
      </c>
      <c r="H2020" s="2">
        <v>0</v>
      </c>
      <c r="I2020" s="2">
        <v>0</v>
      </c>
      <c r="J2020" s="2">
        <v>0</v>
      </c>
      <c r="K2020" s="2">
        <v>0</v>
      </c>
      <c r="L2020" s="2">
        <v>0</v>
      </c>
      <c r="M2020" s="2">
        <v>0</v>
      </c>
      <c r="N2020" s="2">
        <v>0</v>
      </c>
      <c r="O2020" s="2">
        <v>0</v>
      </c>
      <c r="P2020" s="2">
        <v>0</v>
      </c>
      <c r="Q2020" s="2">
        <v>0</v>
      </c>
      <c r="R2020" s="2">
        <v>0</v>
      </c>
      <c r="S2020" s="2">
        <v>0</v>
      </c>
      <c r="T2020" s="2">
        <v>0</v>
      </c>
      <c r="U2020" s="2">
        <v>0</v>
      </c>
      <c r="W2020" s="2">
        <v>0</v>
      </c>
      <c r="X2020" s="2">
        <v>737</v>
      </c>
    </row>
    <row r="2021" spans="1:24" x14ac:dyDescent="0.25">
      <c r="G2021" s="2" t="s">
        <v>3385</v>
      </c>
    </row>
    <row r="2022" spans="1:24" x14ac:dyDescent="0.25">
      <c r="A2022" s="2">
        <v>1008</v>
      </c>
      <c r="B2022" s="2">
        <v>14306</v>
      </c>
      <c r="C2022" s="2" t="s">
        <v>3386</v>
      </c>
      <c r="D2022" s="2" t="s">
        <v>148</v>
      </c>
      <c r="E2022" s="2" t="s">
        <v>51</v>
      </c>
      <c r="F2022" s="2" t="s">
        <v>3387</v>
      </c>
      <c r="G2022" s="2">
        <v>706.2</v>
      </c>
      <c r="H2022" s="2">
        <v>0</v>
      </c>
      <c r="I2022" s="2">
        <v>0</v>
      </c>
      <c r="J2022" s="2">
        <v>0</v>
      </c>
      <c r="K2022" s="2">
        <v>0</v>
      </c>
      <c r="L2022" s="2">
        <v>0</v>
      </c>
      <c r="M2022" s="2">
        <v>30</v>
      </c>
      <c r="N2022" s="2">
        <v>0</v>
      </c>
      <c r="O2022" s="2">
        <v>0</v>
      </c>
      <c r="P2022" s="2">
        <v>0</v>
      </c>
      <c r="Q2022" s="2">
        <v>0</v>
      </c>
      <c r="R2022" s="2">
        <v>0</v>
      </c>
      <c r="S2022" s="2">
        <v>0</v>
      </c>
      <c r="T2022" s="2">
        <v>0</v>
      </c>
      <c r="U2022" s="2">
        <v>0</v>
      </c>
      <c r="W2022" s="2">
        <v>0</v>
      </c>
      <c r="X2022" s="2">
        <v>736.2</v>
      </c>
    </row>
    <row r="2023" spans="1:24" x14ac:dyDescent="0.25">
      <c r="G2023" s="2" t="s">
        <v>3388</v>
      </c>
    </row>
    <row r="2024" spans="1:24" x14ac:dyDescent="0.25">
      <c r="A2024" s="2">
        <v>1009</v>
      </c>
      <c r="B2024" s="2">
        <v>15487</v>
      </c>
      <c r="C2024" s="2" t="s">
        <v>3389</v>
      </c>
      <c r="D2024" s="2" t="s">
        <v>38</v>
      </c>
      <c r="E2024" s="2" t="s">
        <v>108</v>
      </c>
      <c r="F2024" s="2" t="s">
        <v>3390</v>
      </c>
      <c r="G2024" s="2">
        <v>706.2</v>
      </c>
      <c r="H2024" s="2">
        <v>0</v>
      </c>
      <c r="I2024" s="2">
        <v>0</v>
      </c>
      <c r="J2024" s="2">
        <v>0</v>
      </c>
      <c r="K2024" s="2">
        <v>0</v>
      </c>
      <c r="L2024" s="2">
        <v>0</v>
      </c>
      <c r="M2024" s="2">
        <v>30</v>
      </c>
      <c r="N2024" s="2">
        <v>0</v>
      </c>
      <c r="O2024" s="2">
        <v>0</v>
      </c>
      <c r="P2024" s="2">
        <v>0</v>
      </c>
      <c r="Q2024" s="2">
        <v>0</v>
      </c>
      <c r="R2024" s="2">
        <v>0</v>
      </c>
      <c r="S2024" s="2">
        <v>0</v>
      </c>
      <c r="T2024" s="2">
        <v>0</v>
      </c>
      <c r="U2024" s="2">
        <v>0</v>
      </c>
      <c r="W2024" s="2">
        <v>0</v>
      </c>
      <c r="X2024" s="2">
        <v>736.2</v>
      </c>
    </row>
    <row r="2025" spans="1:24" x14ac:dyDescent="0.25">
      <c r="G2025" s="2" t="s">
        <v>3391</v>
      </c>
    </row>
    <row r="2026" spans="1:24" x14ac:dyDescent="0.25">
      <c r="A2026" s="2">
        <v>1010</v>
      </c>
      <c r="B2026" s="2">
        <v>1828</v>
      </c>
      <c r="C2026" s="2" t="s">
        <v>3392</v>
      </c>
      <c r="D2026" s="2" t="s">
        <v>3393</v>
      </c>
      <c r="E2026" s="2" t="s">
        <v>16</v>
      </c>
      <c r="F2026" s="2" t="s">
        <v>3394</v>
      </c>
      <c r="G2026" s="2">
        <v>735.9</v>
      </c>
      <c r="H2026" s="2">
        <v>0</v>
      </c>
      <c r="I2026" s="2">
        <v>0</v>
      </c>
      <c r="J2026" s="2">
        <v>0</v>
      </c>
      <c r="K2026" s="2">
        <v>0</v>
      </c>
      <c r="L2026" s="2">
        <v>0</v>
      </c>
      <c r="M2026" s="2">
        <v>0</v>
      </c>
      <c r="N2026" s="2">
        <v>0</v>
      </c>
      <c r="O2026" s="2">
        <v>0</v>
      </c>
      <c r="P2026" s="2">
        <v>0</v>
      </c>
      <c r="Q2026" s="2">
        <v>0</v>
      </c>
      <c r="R2026" s="2">
        <v>0</v>
      </c>
      <c r="S2026" s="2">
        <v>0</v>
      </c>
      <c r="T2026" s="2">
        <v>0</v>
      </c>
      <c r="U2026" s="2">
        <v>0</v>
      </c>
      <c r="W2026" s="2">
        <v>0</v>
      </c>
      <c r="X2026" s="2">
        <v>735.9</v>
      </c>
    </row>
    <row r="2027" spans="1:24" x14ac:dyDescent="0.25">
      <c r="G2027" s="2" t="s">
        <v>3395</v>
      </c>
    </row>
    <row r="2028" spans="1:24" x14ac:dyDescent="0.25">
      <c r="A2028" s="2">
        <v>1011</v>
      </c>
      <c r="B2028" s="2">
        <v>5883</v>
      </c>
      <c r="C2028" s="2" t="s">
        <v>3396</v>
      </c>
      <c r="D2028" s="2" t="s">
        <v>415</v>
      </c>
      <c r="E2028" s="2" t="s">
        <v>133</v>
      </c>
      <c r="F2028" s="2" t="s">
        <v>3397</v>
      </c>
      <c r="G2028" s="2">
        <v>735.9</v>
      </c>
      <c r="H2028" s="2">
        <v>0</v>
      </c>
      <c r="I2028" s="2">
        <v>0</v>
      </c>
      <c r="J2028" s="2">
        <v>0</v>
      </c>
      <c r="K2028" s="2">
        <v>0</v>
      </c>
      <c r="L2028" s="2">
        <v>0</v>
      </c>
      <c r="M2028" s="2">
        <v>0</v>
      </c>
      <c r="N2028" s="2">
        <v>0</v>
      </c>
      <c r="O2028" s="2">
        <v>0</v>
      </c>
      <c r="P2028" s="2">
        <v>0</v>
      </c>
      <c r="Q2028" s="2">
        <v>0</v>
      </c>
      <c r="R2028" s="2">
        <v>0</v>
      </c>
      <c r="S2028" s="2">
        <v>0</v>
      </c>
      <c r="T2028" s="2">
        <v>0</v>
      </c>
      <c r="U2028" s="2">
        <v>0</v>
      </c>
      <c r="W2028" s="2">
        <v>1</v>
      </c>
      <c r="X2028" s="2">
        <v>735.9</v>
      </c>
    </row>
    <row r="2029" spans="1:24" x14ac:dyDescent="0.25">
      <c r="G2029" s="2" t="s">
        <v>3398</v>
      </c>
    </row>
    <row r="2030" spans="1:24" x14ac:dyDescent="0.25">
      <c r="A2030" s="2">
        <v>1012</v>
      </c>
      <c r="B2030" s="2">
        <v>13338</v>
      </c>
      <c r="C2030" s="2" t="s">
        <v>3399</v>
      </c>
      <c r="D2030" s="2" t="s">
        <v>178</v>
      </c>
      <c r="E2030" s="2" t="s">
        <v>199</v>
      </c>
      <c r="F2030" s="2" t="s">
        <v>3400</v>
      </c>
      <c r="G2030" s="2">
        <v>734.8</v>
      </c>
      <c r="H2030" s="2">
        <v>0</v>
      </c>
      <c r="I2030" s="2">
        <v>0</v>
      </c>
      <c r="J2030" s="2">
        <v>0</v>
      </c>
      <c r="K2030" s="2">
        <v>0</v>
      </c>
      <c r="L2030" s="2">
        <v>0</v>
      </c>
      <c r="M2030" s="2">
        <v>0</v>
      </c>
      <c r="N2030" s="2">
        <v>0</v>
      </c>
      <c r="O2030" s="2">
        <v>0</v>
      </c>
      <c r="P2030" s="2">
        <v>0</v>
      </c>
      <c r="Q2030" s="2">
        <v>0</v>
      </c>
      <c r="R2030" s="2">
        <v>0</v>
      </c>
      <c r="S2030" s="2">
        <v>0</v>
      </c>
      <c r="T2030" s="2">
        <v>0</v>
      </c>
      <c r="U2030" s="2">
        <v>0</v>
      </c>
      <c r="W2030" s="2">
        <v>0</v>
      </c>
      <c r="X2030" s="2">
        <v>734.8</v>
      </c>
    </row>
    <row r="2031" spans="1:24" x14ac:dyDescent="0.25">
      <c r="G2031" s="2" t="s">
        <v>3401</v>
      </c>
    </row>
    <row r="2032" spans="1:24" x14ac:dyDescent="0.25">
      <c r="A2032" s="2">
        <v>1013</v>
      </c>
      <c r="B2032" s="2">
        <v>13533</v>
      </c>
      <c r="C2032" s="2" t="s">
        <v>3402</v>
      </c>
      <c r="D2032" s="2" t="s">
        <v>882</v>
      </c>
      <c r="E2032" s="2" t="s">
        <v>133</v>
      </c>
      <c r="F2032" s="2" t="s">
        <v>3403</v>
      </c>
      <c r="G2032" s="2">
        <v>702.9</v>
      </c>
      <c r="H2032" s="2">
        <v>0</v>
      </c>
      <c r="I2032" s="2">
        <v>0</v>
      </c>
      <c r="J2032" s="2">
        <v>0</v>
      </c>
      <c r="K2032" s="2">
        <v>0</v>
      </c>
      <c r="L2032" s="2">
        <v>0</v>
      </c>
      <c r="M2032" s="2">
        <v>30</v>
      </c>
      <c r="N2032" s="2">
        <v>0</v>
      </c>
      <c r="O2032" s="2">
        <v>0</v>
      </c>
      <c r="P2032" s="2">
        <v>0</v>
      </c>
      <c r="Q2032" s="2">
        <v>0</v>
      </c>
      <c r="R2032" s="2">
        <v>0</v>
      </c>
      <c r="S2032" s="2">
        <v>0</v>
      </c>
      <c r="T2032" s="2">
        <v>0</v>
      </c>
      <c r="U2032" s="2">
        <v>0</v>
      </c>
      <c r="W2032" s="2">
        <v>0</v>
      </c>
      <c r="X2032" s="2">
        <v>732.9</v>
      </c>
    </row>
    <row r="2033" spans="1:24" x14ac:dyDescent="0.25">
      <c r="G2033" s="2" t="s">
        <v>3404</v>
      </c>
    </row>
    <row r="2034" spans="1:24" x14ac:dyDescent="0.25">
      <c r="A2034" s="2">
        <v>1014</v>
      </c>
      <c r="B2034" s="2">
        <v>6547</v>
      </c>
      <c r="C2034" s="2" t="s">
        <v>3405</v>
      </c>
      <c r="D2034" s="2" t="s">
        <v>547</v>
      </c>
      <c r="E2034" s="2" t="s">
        <v>3406</v>
      </c>
      <c r="F2034" s="2" t="s">
        <v>3407</v>
      </c>
      <c r="G2034" s="2">
        <v>701.8</v>
      </c>
      <c r="H2034" s="2">
        <v>0</v>
      </c>
      <c r="I2034" s="2">
        <v>0</v>
      </c>
      <c r="J2034" s="2">
        <v>0</v>
      </c>
      <c r="K2034" s="2">
        <v>0</v>
      </c>
      <c r="L2034" s="2">
        <v>0</v>
      </c>
      <c r="M2034" s="2">
        <v>30</v>
      </c>
      <c r="N2034" s="2">
        <v>0</v>
      </c>
      <c r="O2034" s="2">
        <v>0</v>
      </c>
      <c r="P2034" s="2">
        <v>0</v>
      </c>
      <c r="Q2034" s="2">
        <v>0</v>
      </c>
      <c r="R2034" s="2">
        <v>0</v>
      </c>
      <c r="S2034" s="2">
        <v>0</v>
      </c>
      <c r="T2034" s="2">
        <v>0</v>
      </c>
      <c r="U2034" s="2">
        <v>0</v>
      </c>
      <c r="W2034" s="2">
        <v>1</v>
      </c>
      <c r="X2034" s="2">
        <v>731.8</v>
      </c>
    </row>
    <row r="2035" spans="1:24" x14ac:dyDescent="0.25">
      <c r="G2035" s="2" t="s">
        <v>3408</v>
      </c>
    </row>
    <row r="2036" spans="1:24" x14ac:dyDescent="0.25">
      <c r="A2036" s="2">
        <v>1015</v>
      </c>
      <c r="B2036" s="2">
        <v>8381</v>
      </c>
      <c r="C2036" s="2" t="s">
        <v>3409</v>
      </c>
      <c r="D2036" s="2" t="s">
        <v>39</v>
      </c>
      <c r="E2036" s="2" t="s">
        <v>3410</v>
      </c>
      <c r="F2036" s="2" t="s">
        <v>3411</v>
      </c>
      <c r="G2036" s="2">
        <v>731.5</v>
      </c>
      <c r="H2036" s="2">
        <v>0</v>
      </c>
      <c r="I2036" s="2">
        <v>0</v>
      </c>
      <c r="J2036" s="2">
        <v>0</v>
      </c>
      <c r="K2036" s="2">
        <v>0</v>
      </c>
      <c r="L2036" s="2">
        <v>0</v>
      </c>
      <c r="M2036" s="2">
        <v>0</v>
      </c>
      <c r="N2036" s="2">
        <v>0</v>
      </c>
      <c r="O2036" s="2">
        <v>0</v>
      </c>
      <c r="P2036" s="2">
        <v>0</v>
      </c>
      <c r="Q2036" s="2">
        <v>0</v>
      </c>
      <c r="R2036" s="2">
        <v>0</v>
      </c>
      <c r="S2036" s="2">
        <v>0</v>
      </c>
      <c r="T2036" s="2">
        <v>0</v>
      </c>
      <c r="U2036" s="2">
        <v>0</v>
      </c>
      <c r="W2036" s="2">
        <v>0</v>
      </c>
      <c r="X2036" s="2">
        <v>731.5</v>
      </c>
    </row>
    <row r="2037" spans="1:24" x14ac:dyDescent="0.25">
      <c r="G2037" s="2" t="s">
        <v>3412</v>
      </c>
    </row>
    <row r="2038" spans="1:24" x14ac:dyDescent="0.25">
      <c r="A2038" s="2">
        <v>1016</v>
      </c>
      <c r="B2038" s="2">
        <v>7383</v>
      </c>
      <c r="C2038" s="2" t="s">
        <v>3413</v>
      </c>
      <c r="D2038" s="2" t="s">
        <v>38</v>
      </c>
      <c r="E2038" s="2" t="s">
        <v>122</v>
      </c>
      <c r="F2038" s="2" t="s">
        <v>3414</v>
      </c>
      <c r="G2038" s="2">
        <v>731.5</v>
      </c>
      <c r="H2038" s="2">
        <v>0</v>
      </c>
      <c r="I2038" s="2">
        <v>0</v>
      </c>
      <c r="J2038" s="2">
        <v>0</v>
      </c>
      <c r="K2038" s="2">
        <v>0</v>
      </c>
      <c r="L2038" s="2">
        <v>0</v>
      </c>
      <c r="M2038" s="2">
        <v>0</v>
      </c>
      <c r="N2038" s="2">
        <v>0</v>
      </c>
      <c r="O2038" s="2">
        <v>0</v>
      </c>
      <c r="P2038" s="2">
        <v>0</v>
      </c>
      <c r="Q2038" s="2">
        <v>0</v>
      </c>
      <c r="R2038" s="2">
        <v>0</v>
      </c>
      <c r="S2038" s="2">
        <v>0</v>
      </c>
      <c r="T2038" s="2">
        <v>0</v>
      </c>
      <c r="U2038" s="2">
        <v>0</v>
      </c>
      <c r="W2038" s="2">
        <v>0</v>
      </c>
      <c r="X2038" s="2">
        <v>731.5</v>
      </c>
    </row>
    <row r="2039" spans="1:24" x14ac:dyDescent="0.25">
      <c r="G2039" s="2" t="s">
        <v>3415</v>
      </c>
    </row>
    <row r="2040" spans="1:24" x14ac:dyDescent="0.25">
      <c r="A2040" s="2">
        <v>1017</v>
      </c>
      <c r="B2040" s="2">
        <v>3482</v>
      </c>
      <c r="C2040" s="2" t="s">
        <v>3416</v>
      </c>
      <c r="D2040" s="2" t="s">
        <v>3417</v>
      </c>
      <c r="E2040" s="2" t="s">
        <v>90</v>
      </c>
      <c r="F2040" s="2" t="s">
        <v>3418</v>
      </c>
      <c r="G2040" s="2">
        <v>731.5</v>
      </c>
      <c r="H2040" s="2">
        <v>0</v>
      </c>
      <c r="I2040" s="2">
        <v>0</v>
      </c>
      <c r="J2040" s="2">
        <v>0</v>
      </c>
      <c r="K2040" s="2">
        <v>0</v>
      </c>
      <c r="L2040" s="2">
        <v>0</v>
      </c>
      <c r="M2040" s="2">
        <v>0</v>
      </c>
      <c r="N2040" s="2">
        <v>0</v>
      </c>
      <c r="O2040" s="2">
        <v>0</v>
      </c>
      <c r="P2040" s="2">
        <v>0</v>
      </c>
      <c r="Q2040" s="2">
        <v>0</v>
      </c>
      <c r="R2040" s="2">
        <v>0</v>
      </c>
      <c r="S2040" s="2">
        <v>0</v>
      </c>
      <c r="T2040" s="2">
        <v>0</v>
      </c>
      <c r="U2040" s="2">
        <v>0</v>
      </c>
      <c r="W2040" s="2">
        <v>1</v>
      </c>
      <c r="X2040" s="2">
        <v>731.5</v>
      </c>
    </row>
    <row r="2041" spans="1:24" x14ac:dyDescent="0.25">
      <c r="G2041" s="2" t="s">
        <v>3419</v>
      </c>
    </row>
    <row r="2042" spans="1:24" x14ac:dyDescent="0.25">
      <c r="A2042" s="2">
        <v>1018</v>
      </c>
      <c r="B2042" s="2">
        <v>7909</v>
      </c>
      <c r="C2042" s="2" t="s">
        <v>3420</v>
      </c>
      <c r="D2042" s="2" t="s">
        <v>39</v>
      </c>
      <c r="E2042" s="2" t="s">
        <v>354</v>
      </c>
      <c r="F2042" s="2" t="s">
        <v>3421</v>
      </c>
      <c r="G2042" s="2">
        <v>730.4</v>
      </c>
      <c r="H2042" s="2">
        <v>0</v>
      </c>
      <c r="I2042" s="2">
        <v>0</v>
      </c>
      <c r="J2042" s="2">
        <v>0</v>
      </c>
      <c r="K2042" s="2">
        <v>0</v>
      </c>
      <c r="L2042" s="2">
        <v>0</v>
      </c>
      <c r="M2042" s="2">
        <v>0</v>
      </c>
      <c r="N2042" s="2">
        <v>0</v>
      </c>
      <c r="O2042" s="2">
        <v>0</v>
      </c>
      <c r="P2042" s="2">
        <v>0</v>
      </c>
      <c r="Q2042" s="2">
        <v>0</v>
      </c>
      <c r="R2042" s="2">
        <v>0</v>
      </c>
      <c r="S2042" s="2">
        <v>0</v>
      </c>
      <c r="T2042" s="2">
        <v>0</v>
      </c>
      <c r="U2042" s="2">
        <v>0</v>
      </c>
      <c r="W2042" s="2">
        <v>0</v>
      </c>
      <c r="X2042" s="2">
        <v>730.4</v>
      </c>
    </row>
    <row r="2043" spans="1:24" x14ac:dyDescent="0.25">
      <c r="G2043" s="2" t="s">
        <v>3422</v>
      </c>
    </row>
    <row r="2044" spans="1:24" x14ac:dyDescent="0.25">
      <c r="A2044" s="2">
        <v>1019</v>
      </c>
      <c r="B2044" s="2">
        <v>15871</v>
      </c>
      <c r="C2044" s="2" t="s">
        <v>3423</v>
      </c>
      <c r="D2044" s="2" t="s">
        <v>2465</v>
      </c>
      <c r="E2044" s="2" t="s">
        <v>39</v>
      </c>
      <c r="F2044" s="2" t="s">
        <v>3424</v>
      </c>
      <c r="G2044" s="2">
        <v>729.3</v>
      </c>
      <c r="H2044" s="2">
        <v>0</v>
      </c>
      <c r="I2044" s="2">
        <v>0</v>
      </c>
      <c r="J2044" s="2">
        <v>0</v>
      </c>
      <c r="K2044" s="2">
        <v>0</v>
      </c>
      <c r="L2044" s="2">
        <v>0</v>
      </c>
      <c r="M2044" s="2">
        <v>0</v>
      </c>
      <c r="N2044" s="2">
        <v>0</v>
      </c>
      <c r="O2044" s="2">
        <v>0</v>
      </c>
      <c r="P2044" s="2">
        <v>0</v>
      </c>
      <c r="Q2044" s="2">
        <v>0</v>
      </c>
      <c r="R2044" s="2">
        <v>0</v>
      </c>
      <c r="S2044" s="2">
        <v>0</v>
      </c>
      <c r="T2044" s="2">
        <v>0</v>
      </c>
      <c r="U2044" s="2">
        <v>0</v>
      </c>
      <c r="W2044" s="2">
        <v>2</v>
      </c>
      <c r="X2044" s="2">
        <v>729.3</v>
      </c>
    </row>
    <row r="2045" spans="1:24" x14ac:dyDescent="0.25">
      <c r="G2045" s="2" t="s">
        <v>3425</v>
      </c>
    </row>
    <row r="2046" spans="1:24" x14ac:dyDescent="0.25">
      <c r="A2046" s="2">
        <v>1020</v>
      </c>
      <c r="B2046" s="2">
        <v>544</v>
      </c>
      <c r="C2046" s="2" t="s">
        <v>3426</v>
      </c>
      <c r="D2046" s="2" t="s">
        <v>3427</v>
      </c>
      <c r="E2046" s="2" t="s">
        <v>127</v>
      </c>
      <c r="F2046" s="2" t="s">
        <v>3428</v>
      </c>
      <c r="G2046" s="2">
        <v>697.4</v>
      </c>
      <c r="H2046" s="2">
        <v>0</v>
      </c>
      <c r="I2046" s="2">
        <v>0</v>
      </c>
      <c r="J2046" s="2">
        <v>0</v>
      </c>
      <c r="K2046" s="2">
        <v>0</v>
      </c>
      <c r="L2046" s="2">
        <v>0</v>
      </c>
      <c r="M2046" s="2">
        <v>30</v>
      </c>
      <c r="N2046" s="2">
        <v>0</v>
      </c>
      <c r="O2046" s="2">
        <v>0</v>
      </c>
      <c r="P2046" s="2">
        <v>0</v>
      </c>
      <c r="Q2046" s="2">
        <v>0</v>
      </c>
      <c r="R2046" s="2">
        <v>0</v>
      </c>
      <c r="S2046" s="2">
        <v>0</v>
      </c>
      <c r="T2046" s="2">
        <v>0</v>
      </c>
      <c r="U2046" s="2">
        <v>0</v>
      </c>
      <c r="W2046" s="2">
        <v>0</v>
      </c>
      <c r="X2046" s="2">
        <v>727.4</v>
      </c>
    </row>
    <row r="2047" spans="1:24" x14ac:dyDescent="0.25">
      <c r="G2047" s="2" t="s">
        <v>3429</v>
      </c>
    </row>
    <row r="2048" spans="1:24" x14ac:dyDescent="0.25">
      <c r="A2048" s="2">
        <v>1021</v>
      </c>
      <c r="B2048" s="2">
        <v>5514</v>
      </c>
      <c r="C2048" s="2" t="s">
        <v>3430</v>
      </c>
      <c r="D2048" s="2" t="s">
        <v>902</v>
      </c>
      <c r="E2048" s="2" t="s">
        <v>268</v>
      </c>
      <c r="F2048" s="2" t="s">
        <v>3431</v>
      </c>
      <c r="G2048" s="2">
        <v>727.1</v>
      </c>
      <c r="H2048" s="2">
        <v>0</v>
      </c>
      <c r="I2048" s="2">
        <v>0</v>
      </c>
      <c r="J2048" s="2">
        <v>0</v>
      </c>
      <c r="K2048" s="2">
        <v>0</v>
      </c>
      <c r="L2048" s="2">
        <v>0</v>
      </c>
      <c r="M2048" s="2">
        <v>0</v>
      </c>
      <c r="N2048" s="2">
        <v>0</v>
      </c>
      <c r="O2048" s="2">
        <v>0</v>
      </c>
      <c r="P2048" s="2">
        <v>0</v>
      </c>
      <c r="Q2048" s="2">
        <v>0</v>
      </c>
      <c r="R2048" s="2">
        <v>0</v>
      </c>
      <c r="S2048" s="2">
        <v>0</v>
      </c>
      <c r="T2048" s="2">
        <v>0</v>
      </c>
      <c r="U2048" s="2">
        <v>0</v>
      </c>
      <c r="W2048" s="2">
        <v>0</v>
      </c>
      <c r="X2048" s="2">
        <v>727.1</v>
      </c>
    </row>
    <row r="2049" spans="1:24" x14ac:dyDescent="0.25">
      <c r="G2049" s="2" t="s">
        <v>3432</v>
      </c>
    </row>
    <row r="2050" spans="1:24" x14ac:dyDescent="0.25">
      <c r="A2050" s="2">
        <v>1022</v>
      </c>
      <c r="B2050" s="2">
        <v>5622</v>
      </c>
      <c r="C2050" s="2" t="s">
        <v>3433</v>
      </c>
      <c r="D2050" s="2" t="s">
        <v>112</v>
      </c>
      <c r="E2050" s="2" t="s">
        <v>342</v>
      </c>
      <c r="F2050" s="2" t="s">
        <v>3434</v>
      </c>
      <c r="G2050" s="2">
        <v>727.1</v>
      </c>
      <c r="H2050" s="2">
        <v>0</v>
      </c>
      <c r="I2050" s="2">
        <v>0</v>
      </c>
      <c r="J2050" s="2">
        <v>0</v>
      </c>
      <c r="K2050" s="2">
        <v>0</v>
      </c>
      <c r="L2050" s="2">
        <v>0</v>
      </c>
      <c r="M2050" s="2">
        <v>0</v>
      </c>
      <c r="N2050" s="2">
        <v>0</v>
      </c>
      <c r="O2050" s="2">
        <v>0</v>
      </c>
      <c r="P2050" s="2">
        <v>0</v>
      </c>
      <c r="Q2050" s="2">
        <v>0</v>
      </c>
      <c r="R2050" s="2">
        <v>0</v>
      </c>
      <c r="S2050" s="2">
        <v>0</v>
      </c>
      <c r="T2050" s="2">
        <v>0</v>
      </c>
      <c r="U2050" s="2">
        <v>0</v>
      </c>
      <c r="W2050" s="2">
        <v>0</v>
      </c>
      <c r="X2050" s="2">
        <v>727.1</v>
      </c>
    </row>
    <row r="2051" spans="1:24" x14ac:dyDescent="0.25">
      <c r="G2051" s="2" t="s">
        <v>3435</v>
      </c>
    </row>
    <row r="2052" spans="1:24" x14ac:dyDescent="0.25">
      <c r="A2052" s="2">
        <v>1023</v>
      </c>
      <c r="B2052" s="2">
        <v>14753</v>
      </c>
      <c r="C2052" s="2" t="s">
        <v>3436</v>
      </c>
      <c r="D2052" s="2" t="s">
        <v>248</v>
      </c>
      <c r="E2052" s="2" t="s">
        <v>73</v>
      </c>
      <c r="F2052" s="2" t="s">
        <v>3437</v>
      </c>
      <c r="G2052" s="2">
        <v>727.1</v>
      </c>
      <c r="H2052" s="2">
        <v>0</v>
      </c>
      <c r="I2052" s="2">
        <v>0</v>
      </c>
      <c r="J2052" s="2">
        <v>0</v>
      </c>
      <c r="K2052" s="2">
        <v>0</v>
      </c>
      <c r="L2052" s="2">
        <v>0</v>
      </c>
      <c r="M2052" s="2">
        <v>0</v>
      </c>
      <c r="N2052" s="2">
        <v>0</v>
      </c>
      <c r="O2052" s="2">
        <v>0</v>
      </c>
      <c r="P2052" s="2">
        <v>0</v>
      </c>
      <c r="Q2052" s="2">
        <v>0</v>
      </c>
      <c r="R2052" s="2">
        <v>0</v>
      </c>
      <c r="S2052" s="2">
        <v>0</v>
      </c>
      <c r="T2052" s="2">
        <v>0</v>
      </c>
      <c r="U2052" s="2">
        <v>0</v>
      </c>
      <c r="W2052" s="2">
        <v>0</v>
      </c>
      <c r="X2052" s="2">
        <v>727.1</v>
      </c>
    </row>
    <row r="2053" spans="1:24" x14ac:dyDescent="0.25">
      <c r="G2053" s="2" t="s">
        <v>3438</v>
      </c>
    </row>
    <row r="2054" spans="1:24" x14ac:dyDescent="0.25">
      <c r="A2054" s="2">
        <v>1024</v>
      </c>
      <c r="B2054" s="2">
        <v>6563</v>
      </c>
      <c r="C2054" s="2" t="s">
        <v>780</v>
      </c>
      <c r="D2054" s="2" t="s">
        <v>78</v>
      </c>
      <c r="E2054" s="2" t="s">
        <v>73</v>
      </c>
      <c r="F2054" s="2" t="s">
        <v>3439</v>
      </c>
      <c r="G2054" s="2">
        <v>726</v>
      </c>
      <c r="H2054" s="2">
        <v>0</v>
      </c>
      <c r="I2054" s="2">
        <v>0</v>
      </c>
      <c r="J2054" s="2">
        <v>0</v>
      </c>
      <c r="K2054" s="2">
        <v>0</v>
      </c>
      <c r="L2054" s="2">
        <v>0</v>
      </c>
      <c r="M2054" s="2">
        <v>0</v>
      </c>
      <c r="N2054" s="2">
        <v>0</v>
      </c>
      <c r="O2054" s="2">
        <v>0</v>
      </c>
      <c r="P2054" s="2">
        <v>0</v>
      </c>
      <c r="Q2054" s="2">
        <v>0</v>
      </c>
      <c r="R2054" s="2">
        <v>0</v>
      </c>
      <c r="S2054" s="2">
        <v>0</v>
      </c>
      <c r="T2054" s="2">
        <v>0</v>
      </c>
      <c r="U2054" s="2">
        <v>0</v>
      </c>
      <c r="W2054" s="2">
        <v>0</v>
      </c>
      <c r="X2054" s="2">
        <v>726</v>
      </c>
    </row>
    <row r="2055" spans="1:24" x14ac:dyDescent="0.25">
      <c r="G2055" s="2" t="s">
        <v>3440</v>
      </c>
    </row>
    <row r="2056" spans="1:24" x14ac:dyDescent="0.25">
      <c r="A2056" s="2">
        <v>1025</v>
      </c>
      <c r="B2056" s="2">
        <v>10085</v>
      </c>
      <c r="C2056" s="2" t="s">
        <v>3441</v>
      </c>
      <c r="D2056" s="2" t="s">
        <v>1560</v>
      </c>
      <c r="E2056" s="2" t="s">
        <v>302</v>
      </c>
      <c r="F2056" s="2" t="s">
        <v>3442</v>
      </c>
      <c r="G2056" s="2">
        <v>694.1</v>
      </c>
      <c r="H2056" s="2">
        <v>0</v>
      </c>
      <c r="I2056" s="2">
        <v>0</v>
      </c>
      <c r="J2056" s="2">
        <v>0</v>
      </c>
      <c r="K2056" s="2">
        <v>0</v>
      </c>
      <c r="L2056" s="2">
        <v>0</v>
      </c>
      <c r="M2056" s="2">
        <v>30</v>
      </c>
      <c r="N2056" s="2">
        <v>0</v>
      </c>
      <c r="O2056" s="2">
        <v>0</v>
      </c>
      <c r="P2056" s="2">
        <v>0</v>
      </c>
      <c r="Q2056" s="2">
        <v>0</v>
      </c>
      <c r="R2056" s="2">
        <v>0</v>
      </c>
      <c r="S2056" s="2">
        <v>0</v>
      </c>
      <c r="T2056" s="2">
        <v>0</v>
      </c>
      <c r="U2056" s="2">
        <v>0</v>
      </c>
      <c r="W2056" s="2">
        <v>0</v>
      </c>
      <c r="X2056" s="2">
        <v>724.1</v>
      </c>
    </row>
    <row r="2057" spans="1:24" x14ac:dyDescent="0.25">
      <c r="G2057" s="2" t="s">
        <v>3443</v>
      </c>
    </row>
    <row r="2058" spans="1:24" x14ac:dyDescent="0.25">
      <c r="A2058" s="2">
        <v>1026</v>
      </c>
      <c r="B2058" s="2">
        <v>15789</v>
      </c>
      <c r="C2058" s="2" t="s">
        <v>1181</v>
      </c>
      <c r="D2058" s="2" t="s">
        <v>338</v>
      </c>
      <c r="E2058" s="2" t="s">
        <v>45</v>
      </c>
      <c r="F2058" s="2" t="s">
        <v>3444</v>
      </c>
      <c r="G2058" s="2">
        <v>723.8</v>
      </c>
      <c r="H2058" s="2">
        <v>0</v>
      </c>
      <c r="I2058" s="2">
        <v>0</v>
      </c>
      <c r="J2058" s="2">
        <v>0</v>
      </c>
      <c r="K2058" s="2">
        <v>0</v>
      </c>
      <c r="L2058" s="2">
        <v>0</v>
      </c>
      <c r="M2058" s="2">
        <v>0</v>
      </c>
      <c r="N2058" s="2">
        <v>0</v>
      </c>
      <c r="O2058" s="2">
        <v>0</v>
      </c>
      <c r="P2058" s="2">
        <v>0</v>
      </c>
      <c r="Q2058" s="2">
        <v>0</v>
      </c>
      <c r="R2058" s="2">
        <v>0</v>
      </c>
      <c r="S2058" s="2">
        <v>0</v>
      </c>
      <c r="T2058" s="2">
        <v>0</v>
      </c>
      <c r="U2058" s="2">
        <v>0</v>
      </c>
      <c r="W2058" s="2">
        <v>0</v>
      </c>
      <c r="X2058" s="2">
        <v>723.8</v>
      </c>
    </row>
    <row r="2059" spans="1:24" x14ac:dyDescent="0.25">
      <c r="G2059" s="2" t="s">
        <v>3445</v>
      </c>
    </row>
    <row r="2060" spans="1:24" x14ac:dyDescent="0.25">
      <c r="A2060" s="2">
        <v>1027</v>
      </c>
      <c r="B2060" s="2">
        <v>6888</v>
      </c>
      <c r="C2060" s="2" t="s">
        <v>3446</v>
      </c>
      <c r="D2060" s="2" t="s">
        <v>39</v>
      </c>
      <c r="E2060" s="2" t="s">
        <v>148</v>
      </c>
      <c r="F2060" s="2" t="s">
        <v>3447</v>
      </c>
      <c r="G2060" s="2">
        <v>722.7</v>
      </c>
      <c r="H2060" s="2">
        <v>0</v>
      </c>
      <c r="I2060" s="2">
        <v>0</v>
      </c>
      <c r="J2060" s="2">
        <v>0</v>
      </c>
      <c r="K2060" s="2">
        <v>0</v>
      </c>
      <c r="L2060" s="2">
        <v>0</v>
      </c>
      <c r="M2060" s="2">
        <v>0</v>
      </c>
      <c r="N2060" s="2">
        <v>0</v>
      </c>
      <c r="O2060" s="2">
        <v>0</v>
      </c>
      <c r="P2060" s="2">
        <v>0</v>
      </c>
      <c r="Q2060" s="2">
        <v>0</v>
      </c>
      <c r="R2060" s="2">
        <v>0</v>
      </c>
      <c r="S2060" s="2">
        <v>0</v>
      </c>
      <c r="T2060" s="2">
        <v>0</v>
      </c>
      <c r="U2060" s="2">
        <v>0</v>
      </c>
      <c r="W2060" s="2">
        <v>0</v>
      </c>
      <c r="X2060" s="2">
        <v>722.7</v>
      </c>
    </row>
    <row r="2061" spans="1:24" x14ac:dyDescent="0.25">
      <c r="G2061" s="2" t="s">
        <v>3448</v>
      </c>
    </row>
    <row r="2062" spans="1:24" x14ac:dyDescent="0.25">
      <c r="A2062" s="2">
        <v>1028</v>
      </c>
      <c r="B2062" s="2">
        <v>17684</v>
      </c>
      <c r="C2062" s="2" t="s">
        <v>1131</v>
      </c>
      <c r="D2062" s="2" t="s">
        <v>248</v>
      </c>
      <c r="E2062" s="2" t="s">
        <v>194</v>
      </c>
      <c r="F2062" s="2" t="s">
        <v>3449</v>
      </c>
      <c r="G2062" s="2">
        <v>722.7</v>
      </c>
      <c r="H2062" s="2">
        <v>0</v>
      </c>
      <c r="I2062" s="2">
        <v>0</v>
      </c>
      <c r="J2062" s="2">
        <v>0</v>
      </c>
      <c r="K2062" s="2">
        <v>0</v>
      </c>
      <c r="L2062" s="2">
        <v>0</v>
      </c>
      <c r="M2062" s="2">
        <v>0</v>
      </c>
      <c r="N2062" s="2">
        <v>0</v>
      </c>
      <c r="O2062" s="2">
        <v>0</v>
      </c>
      <c r="P2062" s="2">
        <v>0</v>
      </c>
      <c r="Q2062" s="2">
        <v>0</v>
      </c>
      <c r="R2062" s="2">
        <v>0</v>
      </c>
      <c r="S2062" s="2">
        <v>0</v>
      </c>
      <c r="T2062" s="2">
        <v>0</v>
      </c>
      <c r="U2062" s="2">
        <v>0</v>
      </c>
      <c r="W2062" s="2">
        <v>0</v>
      </c>
      <c r="X2062" s="2">
        <v>722.7</v>
      </c>
    </row>
    <row r="2063" spans="1:24" x14ac:dyDescent="0.25">
      <c r="G2063" s="2" t="s">
        <v>3450</v>
      </c>
    </row>
    <row r="2064" spans="1:24" x14ac:dyDescent="0.25">
      <c r="A2064" s="2">
        <v>1029</v>
      </c>
      <c r="B2064" s="2">
        <v>14985</v>
      </c>
      <c r="C2064" s="2" t="s">
        <v>3451</v>
      </c>
      <c r="D2064" s="2" t="s">
        <v>2048</v>
      </c>
      <c r="E2064" s="2" t="s">
        <v>90</v>
      </c>
      <c r="F2064" s="2" t="s">
        <v>3452</v>
      </c>
      <c r="G2064" s="2">
        <v>691.9</v>
      </c>
      <c r="H2064" s="2">
        <v>0</v>
      </c>
      <c r="I2064" s="2">
        <v>0</v>
      </c>
      <c r="J2064" s="2">
        <v>0</v>
      </c>
      <c r="K2064" s="2">
        <v>0</v>
      </c>
      <c r="L2064" s="2">
        <v>0</v>
      </c>
      <c r="M2064" s="2">
        <v>30</v>
      </c>
      <c r="N2064" s="2">
        <v>0</v>
      </c>
      <c r="O2064" s="2">
        <v>0</v>
      </c>
      <c r="P2064" s="2">
        <v>0</v>
      </c>
      <c r="Q2064" s="2">
        <v>0</v>
      </c>
      <c r="R2064" s="2">
        <v>0</v>
      </c>
      <c r="S2064" s="2">
        <v>0</v>
      </c>
      <c r="T2064" s="2">
        <v>0</v>
      </c>
      <c r="U2064" s="2">
        <v>0</v>
      </c>
      <c r="W2064" s="2">
        <v>0</v>
      </c>
      <c r="X2064" s="2">
        <v>721.9</v>
      </c>
    </row>
    <row r="2065" spans="1:24" x14ac:dyDescent="0.25">
      <c r="G2065" s="2" t="s">
        <v>3453</v>
      </c>
    </row>
    <row r="2066" spans="1:24" x14ac:dyDescent="0.25">
      <c r="A2066" s="2">
        <v>1030</v>
      </c>
      <c r="B2066" s="2">
        <v>15568</v>
      </c>
      <c r="C2066" s="2" t="s">
        <v>3454</v>
      </c>
      <c r="D2066" s="2" t="s">
        <v>3455</v>
      </c>
      <c r="E2066" s="2" t="s">
        <v>673</v>
      </c>
      <c r="F2066" s="2" t="s">
        <v>3456</v>
      </c>
      <c r="G2066" s="2">
        <v>719.4</v>
      </c>
      <c r="H2066" s="2">
        <v>0</v>
      </c>
      <c r="I2066" s="2">
        <v>0</v>
      </c>
      <c r="J2066" s="2">
        <v>0</v>
      </c>
      <c r="K2066" s="2">
        <v>0</v>
      </c>
      <c r="L2066" s="2">
        <v>0</v>
      </c>
      <c r="M2066" s="2">
        <v>0</v>
      </c>
      <c r="N2066" s="2">
        <v>0</v>
      </c>
      <c r="O2066" s="2">
        <v>0</v>
      </c>
      <c r="P2066" s="2">
        <v>0</v>
      </c>
      <c r="Q2066" s="2">
        <v>0</v>
      </c>
      <c r="R2066" s="2">
        <v>0</v>
      </c>
      <c r="S2066" s="2">
        <v>0</v>
      </c>
      <c r="T2066" s="2">
        <v>0</v>
      </c>
      <c r="U2066" s="2">
        <v>0</v>
      </c>
      <c r="W2066" s="2">
        <v>0</v>
      </c>
      <c r="X2066" s="2">
        <v>719.4</v>
      </c>
    </row>
    <row r="2067" spans="1:24" x14ac:dyDescent="0.25">
      <c r="G2067" s="2" t="s">
        <v>3457</v>
      </c>
    </row>
    <row r="2068" spans="1:24" x14ac:dyDescent="0.25">
      <c r="A2068" s="2">
        <v>1031</v>
      </c>
      <c r="B2068" s="2">
        <v>16677</v>
      </c>
      <c r="C2068" s="2" t="s">
        <v>3458</v>
      </c>
      <c r="D2068" s="2" t="s">
        <v>112</v>
      </c>
      <c r="E2068" s="2" t="s">
        <v>127</v>
      </c>
      <c r="F2068" s="2" t="s">
        <v>3459</v>
      </c>
      <c r="G2068" s="2">
        <v>718.3</v>
      </c>
      <c r="H2068" s="2">
        <v>0</v>
      </c>
      <c r="I2068" s="2">
        <v>0</v>
      </c>
      <c r="J2068" s="2">
        <v>0</v>
      </c>
      <c r="K2068" s="2">
        <v>0</v>
      </c>
      <c r="L2068" s="2">
        <v>0</v>
      </c>
      <c r="M2068" s="2">
        <v>0</v>
      </c>
      <c r="N2068" s="2">
        <v>0</v>
      </c>
      <c r="O2068" s="2">
        <v>0</v>
      </c>
      <c r="P2068" s="2">
        <v>0</v>
      </c>
      <c r="Q2068" s="2">
        <v>0</v>
      </c>
      <c r="R2068" s="2">
        <v>0</v>
      </c>
      <c r="S2068" s="2">
        <v>0</v>
      </c>
      <c r="T2068" s="2">
        <v>0</v>
      </c>
      <c r="U2068" s="2">
        <v>0</v>
      </c>
      <c r="W2068" s="2">
        <v>1</v>
      </c>
      <c r="X2068" s="2">
        <v>718.3</v>
      </c>
    </row>
    <row r="2069" spans="1:24" x14ac:dyDescent="0.25">
      <c r="G2069" s="2" t="s">
        <v>3382</v>
      </c>
    </row>
    <row r="2070" spans="1:24" x14ac:dyDescent="0.25">
      <c r="A2070" s="2">
        <v>1032</v>
      </c>
      <c r="B2070" s="2">
        <v>4028</v>
      </c>
      <c r="C2070" s="2" t="s">
        <v>3460</v>
      </c>
      <c r="D2070" s="2" t="s">
        <v>56</v>
      </c>
      <c r="E2070" s="2" t="s">
        <v>204</v>
      </c>
      <c r="F2070" s="2" t="s">
        <v>3461</v>
      </c>
      <c r="G2070" s="2">
        <v>715</v>
      </c>
      <c r="H2070" s="2">
        <v>0</v>
      </c>
      <c r="I2070" s="2">
        <v>0</v>
      </c>
      <c r="J2070" s="2">
        <v>0</v>
      </c>
      <c r="K2070" s="2">
        <v>0</v>
      </c>
      <c r="L2070" s="2">
        <v>0</v>
      </c>
      <c r="M2070" s="2">
        <v>0</v>
      </c>
      <c r="N2070" s="2">
        <v>0</v>
      </c>
      <c r="O2070" s="2">
        <v>0</v>
      </c>
      <c r="P2070" s="2">
        <v>0</v>
      </c>
      <c r="Q2070" s="2">
        <v>0</v>
      </c>
      <c r="R2070" s="2">
        <v>0</v>
      </c>
      <c r="S2070" s="2">
        <v>0</v>
      </c>
      <c r="T2070" s="2">
        <v>0</v>
      </c>
      <c r="U2070" s="2">
        <v>0</v>
      </c>
      <c r="W2070" s="2">
        <v>0</v>
      </c>
      <c r="X2070" s="2">
        <v>715</v>
      </c>
    </row>
    <row r="2071" spans="1:24" x14ac:dyDescent="0.25">
      <c r="G2071" s="2" t="s">
        <v>3462</v>
      </c>
    </row>
    <row r="2072" spans="1:24" x14ac:dyDescent="0.25">
      <c r="A2072" s="2">
        <v>1033</v>
      </c>
      <c r="B2072" s="2">
        <v>10082</v>
      </c>
      <c r="C2072" s="2" t="s">
        <v>3463</v>
      </c>
      <c r="D2072" s="2" t="s">
        <v>112</v>
      </c>
      <c r="E2072" s="2" t="s">
        <v>194</v>
      </c>
      <c r="F2072" s="2" t="s">
        <v>3464</v>
      </c>
      <c r="G2072" s="2">
        <v>713.9</v>
      </c>
      <c r="H2072" s="2">
        <v>0</v>
      </c>
      <c r="I2072" s="2">
        <v>0</v>
      </c>
      <c r="J2072" s="2">
        <v>0</v>
      </c>
      <c r="K2072" s="2">
        <v>0</v>
      </c>
      <c r="L2072" s="2">
        <v>0</v>
      </c>
      <c r="M2072" s="2">
        <v>0</v>
      </c>
      <c r="N2072" s="2">
        <v>0</v>
      </c>
      <c r="O2072" s="2">
        <v>0</v>
      </c>
      <c r="P2072" s="2">
        <v>0</v>
      </c>
      <c r="Q2072" s="2">
        <v>0</v>
      </c>
      <c r="R2072" s="2">
        <v>0</v>
      </c>
      <c r="S2072" s="2">
        <v>0</v>
      </c>
      <c r="T2072" s="2">
        <v>0</v>
      </c>
      <c r="U2072" s="2">
        <v>0</v>
      </c>
      <c r="W2072" s="2">
        <v>0</v>
      </c>
      <c r="X2072" s="2">
        <v>713.9</v>
      </c>
    </row>
    <row r="2073" spans="1:24" x14ac:dyDescent="0.25">
      <c r="G2073" s="2" t="s">
        <v>3465</v>
      </c>
    </row>
    <row r="2074" spans="1:24" x14ac:dyDescent="0.25">
      <c r="A2074" s="2">
        <v>1034</v>
      </c>
      <c r="B2074" s="2">
        <v>9785</v>
      </c>
      <c r="C2074" s="2" t="s">
        <v>3466</v>
      </c>
      <c r="D2074" s="2" t="s">
        <v>415</v>
      </c>
      <c r="E2074" s="2" t="s">
        <v>73</v>
      </c>
      <c r="F2074" s="2" t="s">
        <v>3467</v>
      </c>
      <c r="G2074" s="2">
        <v>713.9</v>
      </c>
      <c r="H2074" s="2">
        <v>0</v>
      </c>
      <c r="I2074" s="2">
        <v>0</v>
      </c>
      <c r="J2074" s="2">
        <v>0</v>
      </c>
      <c r="K2074" s="2">
        <v>0</v>
      </c>
      <c r="L2074" s="2">
        <v>0</v>
      </c>
      <c r="M2074" s="2">
        <v>0</v>
      </c>
      <c r="N2074" s="2">
        <v>0</v>
      </c>
      <c r="O2074" s="2">
        <v>0</v>
      </c>
      <c r="P2074" s="2">
        <v>0</v>
      </c>
      <c r="Q2074" s="2">
        <v>0</v>
      </c>
      <c r="R2074" s="2">
        <v>0</v>
      </c>
      <c r="S2074" s="2">
        <v>0</v>
      </c>
      <c r="T2074" s="2">
        <v>0</v>
      </c>
      <c r="U2074" s="2">
        <v>0</v>
      </c>
      <c r="W2074" s="2">
        <v>0</v>
      </c>
      <c r="X2074" s="2">
        <v>713.9</v>
      </c>
    </row>
    <row r="2075" spans="1:24" x14ac:dyDescent="0.25">
      <c r="G2075" s="2" t="s">
        <v>3468</v>
      </c>
    </row>
    <row r="2076" spans="1:24" x14ac:dyDescent="0.25">
      <c r="A2076" s="2">
        <v>1035</v>
      </c>
      <c r="B2076" s="2">
        <v>15579</v>
      </c>
      <c r="C2076" s="2" t="s">
        <v>3469</v>
      </c>
      <c r="D2076" s="2" t="s">
        <v>39</v>
      </c>
      <c r="E2076" s="2" t="s">
        <v>204</v>
      </c>
      <c r="F2076" s="2" t="s">
        <v>3470</v>
      </c>
      <c r="G2076" s="2">
        <v>710.6</v>
      </c>
      <c r="H2076" s="2">
        <v>0</v>
      </c>
      <c r="I2076" s="2">
        <v>0</v>
      </c>
      <c r="J2076" s="2">
        <v>0</v>
      </c>
      <c r="K2076" s="2">
        <v>0</v>
      </c>
      <c r="L2076" s="2">
        <v>0</v>
      </c>
      <c r="M2076" s="2">
        <v>0</v>
      </c>
      <c r="N2076" s="2">
        <v>0</v>
      </c>
      <c r="O2076" s="2">
        <v>0</v>
      </c>
      <c r="P2076" s="2">
        <v>0</v>
      </c>
      <c r="Q2076" s="2">
        <v>0</v>
      </c>
      <c r="R2076" s="2">
        <v>0</v>
      </c>
      <c r="S2076" s="2">
        <v>0</v>
      </c>
      <c r="T2076" s="2">
        <v>0</v>
      </c>
      <c r="U2076" s="2">
        <v>0</v>
      </c>
      <c r="W2076" s="2">
        <v>0</v>
      </c>
      <c r="X2076" s="2">
        <v>710.6</v>
      </c>
    </row>
    <row r="2077" spans="1:24" x14ac:dyDescent="0.25">
      <c r="G2077" s="2" t="s">
        <v>3471</v>
      </c>
    </row>
    <row r="2078" spans="1:24" x14ac:dyDescent="0.25">
      <c r="A2078" s="2">
        <v>1036</v>
      </c>
      <c r="B2078" s="2">
        <v>12037</v>
      </c>
      <c r="C2078" s="2" t="s">
        <v>3472</v>
      </c>
      <c r="D2078" s="2" t="s">
        <v>264</v>
      </c>
      <c r="E2078" s="2" t="s">
        <v>138</v>
      </c>
      <c r="F2078" s="2" t="s">
        <v>3473</v>
      </c>
      <c r="G2078" s="2">
        <v>709.5</v>
      </c>
      <c r="H2078" s="2">
        <v>0</v>
      </c>
      <c r="I2078" s="2">
        <v>0</v>
      </c>
      <c r="J2078" s="2">
        <v>0</v>
      </c>
      <c r="K2078" s="2">
        <v>0</v>
      </c>
      <c r="L2078" s="2">
        <v>0</v>
      </c>
      <c r="M2078" s="2">
        <v>0</v>
      </c>
      <c r="N2078" s="2">
        <v>0</v>
      </c>
      <c r="O2078" s="2">
        <v>0</v>
      </c>
      <c r="P2078" s="2">
        <v>0</v>
      </c>
      <c r="Q2078" s="2">
        <v>0</v>
      </c>
      <c r="R2078" s="2">
        <v>0</v>
      </c>
      <c r="S2078" s="2">
        <v>0</v>
      </c>
      <c r="T2078" s="2">
        <v>0</v>
      </c>
      <c r="U2078" s="2">
        <v>0</v>
      </c>
      <c r="W2078" s="2">
        <v>0</v>
      </c>
      <c r="X2078" s="2">
        <v>709.5</v>
      </c>
    </row>
    <row r="2079" spans="1:24" x14ac:dyDescent="0.25">
      <c r="G2079" s="2" t="s">
        <v>3474</v>
      </c>
    </row>
    <row r="2080" spans="1:24" x14ac:dyDescent="0.25">
      <c r="A2080" s="2">
        <v>1037</v>
      </c>
      <c r="B2080" s="2">
        <v>17428</v>
      </c>
      <c r="C2080" s="2" t="s">
        <v>3475</v>
      </c>
      <c r="D2080" s="2" t="s">
        <v>107</v>
      </c>
      <c r="E2080" s="2" t="s">
        <v>39</v>
      </c>
      <c r="F2080" s="2" t="s">
        <v>3476</v>
      </c>
      <c r="G2080" s="2">
        <v>708.4</v>
      </c>
      <c r="H2080" s="2">
        <v>0</v>
      </c>
      <c r="I2080" s="2">
        <v>0</v>
      </c>
      <c r="J2080" s="2">
        <v>0</v>
      </c>
      <c r="K2080" s="2">
        <v>0</v>
      </c>
      <c r="L2080" s="2">
        <v>0</v>
      </c>
      <c r="M2080" s="2">
        <v>0</v>
      </c>
      <c r="N2080" s="2">
        <v>0</v>
      </c>
      <c r="O2080" s="2">
        <v>0</v>
      </c>
      <c r="P2080" s="2">
        <v>0</v>
      </c>
      <c r="Q2080" s="2">
        <v>0</v>
      </c>
      <c r="R2080" s="2">
        <v>0</v>
      </c>
      <c r="S2080" s="2">
        <v>0</v>
      </c>
      <c r="T2080" s="2">
        <v>0</v>
      </c>
      <c r="U2080" s="2">
        <v>0</v>
      </c>
      <c r="W2080" s="2">
        <v>0</v>
      </c>
      <c r="X2080" s="2">
        <v>708.4</v>
      </c>
    </row>
    <row r="2081" spans="1:24" x14ac:dyDescent="0.25">
      <c r="G2081" s="2" t="s">
        <v>3477</v>
      </c>
    </row>
    <row r="2082" spans="1:24" x14ac:dyDescent="0.25">
      <c r="A2082" s="2">
        <v>1038</v>
      </c>
      <c r="B2082" s="2">
        <v>5848</v>
      </c>
      <c r="C2082" s="2" t="s">
        <v>1215</v>
      </c>
      <c r="D2082" s="2" t="s">
        <v>112</v>
      </c>
      <c r="E2082" s="2" t="s">
        <v>78</v>
      </c>
      <c r="F2082" s="2" t="s">
        <v>3478</v>
      </c>
      <c r="G2082" s="2">
        <v>708.4</v>
      </c>
      <c r="H2082" s="2">
        <v>0</v>
      </c>
      <c r="I2082" s="2">
        <v>0</v>
      </c>
      <c r="J2082" s="2">
        <v>0</v>
      </c>
      <c r="K2082" s="2">
        <v>0</v>
      </c>
      <c r="L2082" s="2">
        <v>0</v>
      </c>
      <c r="M2082" s="2">
        <v>0</v>
      </c>
      <c r="N2082" s="2">
        <v>0</v>
      </c>
      <c r="O2082" s="2">
        <v>0</v>
      </c>
      <c r="P2082" s="2">
        <v>0</v>
      </c>
      <c r="Q2082" s="2">
        <v>0</v>
      </c>
      <c r="R2082" s="2">
        <v>0</v>
      </c>
      <c r="S2082" s="2">
        <v>0</v>
      </c>
      <c r="T2082" s="2">
        <v>0</v>
      </c>
      <c r="U2082" s="2">
        <v>0</v>
      </c>
      <c r="W2082" s="2">
        <v>0</v>
      </c>
      <c r="X2082" s="2">
        <v>708.4</v>
      </c>
    </row>
    <row r="2083" spans="1:24" x14ac:dyDescent="0.25">
      <c r="G2083" s="2" t="s">
        <v>3479</v>
      </c>
    </row>
    <row r="2084" spans="1:24" x14ac:dyDescent="0.25">
      <c r="A2084" s="2">
        <v>1039</v>
      </c>
      <c r="B2084" s="2">
        <v>1737</v>
      </c>
      <c r="C2084" s="2" t="s">
        <v>3480</v>
      </c>
      <c r="D2084" s="2" t="s">
        <v>199</v>
      </c>
      <c r="E2084" s="2" t="s">
        <v>73</v>
      </c>
      <c r="F2084" s="2" t="s">
        <v>3481</v>
      </c>
      <c r="G2084" s="2">
        <v>706.2</v>
      </c>
      <c r="H2084" s="2">
        <v>0</v>
      </c>
      <c r="I2084" s="2">
        <v>0</v>
      </c>
      <c r="J2084" s="2">
        <v>0</v>
      </c>
      <c r="K2084" s="2">
        <v>0</v>
      </c>
      <c r="L2084" s="2">
        <v>0</v>
      </c>
      <c r="M2084" s="2">
        <v>0</v>
      </c>
      <c r="N2084" s="2">
        <v>0</v>
      </c>
      <c r="O2084" s="2">
        <v>0</v>
      </c>
      <c r="P2084" s="2">
        <v>0</v>
      </c>
      <c r="Q2084" s="2">
        <v>0</v>
      </c>
      <c r="R2084" s="2">
        <v>0</v>
      </c>
      <c r="S2084" s="2">
        <v>0</v>
      </c>
      <c r="T2084" s="2">
        <v>0</v>
      </c>
      <c r="U2084" s="2">
        <v>0</v>
      </c>
      <c r="W2084" s="2">
        <v>0</v>
      </c>
      <c r="X2084" s="2">
        <v>706.2</v>
      </c>
    </row>
    <row r="2085" spans="1:24" x14ac:dyDescent="0.25">
      <c r="G2085" s="2" t="s">
        <v>3482</v>
      </c>
    </row>
    <row r="2086" spans="1:24" x14ac:dyDescent="0.25">
      <c r="A2086" s="2">
        <v>1040</v>
      </c>
      <c r="B2086" s="2">
        <v>12299</v>
      </c>
      <c r="C2086" s="2" t="s">
        <v>3483</v>
      </c>
      <c r="D2086" s="2" t="s">
        <v>290</v>
      </c>
      <c r="E2086" s="2" t="s">
        <v>84</v>
      </c>
      <c r="F2086" s="2" t="s">
        <v>3484</v>
      </c>
      <c r="G2086" s="2">
        <v>704</v>
      </c>
      <c r="H2086" s="2">
        <v>0</v>
      </c>
      <c r="I2086" s="2">
        <v>0</v>
      </c>
      <c r="J2086" s="2">
        <v>0</v>
      </c>
      <c r="K2086" s="2">
        <v>0</v>
      </c>
      <c r="L2086" s="2">
        <v>0</v>
      </c>
      <c r="M2086" s="2">
        <v>0</v>
      </c>
      <c r="N2086" s="2">
        <v>0</v>
      </c>
      <c r="O2086" s="2">
        <v>0</v>
      </c>
      <c r="P2086" s="2">
        <v>0</v>
      </c>
      <c r="Q2086" s="2">
        <v>0</v>
      </c>
      <c r="R2086" s="2">
        <v>0</v>
      </c>
      <c r="S2086" s="2">
        <v>0</v>
      </c>
      <c r="T2086" s="2">
        <v>0</v>
      </c>
      <c r="U2086" s="2">
        <v>0</v>
      </c>
      <c r="W2086" s="2">
        <v>0</v>
      </c>
      <c r="X2086" s="2">
        <v>704</v>
      </c>
    </row>
    <row r="2087" spans="1:24" x14ac:dyDescent="0.25">
      <c r="G2087" s="2" t="s">
        <v>3485</v>
      </c>
    </row>
    <row r="2088" spans="1:24" x14ac:dyDescent="0.25">
      <c r="A2088" s="2">
        <v>1041</v>
      </c>
      <c r="B2088" s="2">
        <v>906</v>
      </c>
      <c r="C2088" s="2" t="s">
        <v>3486</v>
      </c>
      <c r="D2088" s="2" t="s">
        <v>399</v>
      </c>
      <c r="E2088" s="2" t="s">
        <v>51</v>
      </c>
      <c r="F2088" s="2" t="s">
        <v>3487</v>
      </c>
      <c r="G2088" s="2">
        <v>704</v>
      </c>
      <c r="H2088" s="2">
        <v>0</v>
      </c>
      <c r="I2088" s="2">
        <v>0</v>
      </c>
      <c r="J2088" s="2">
        <v>0</v>
      </c>
      <c r="K2088" s="2">
        <v>0</v>
      </c>
      <c r="L2088" s="2">
        <v>0</v>
      </c>
      <c r="M2088" s="2">
        <v>0</v>
      </c>
      <c r="N2088" s="2">
        <v>0</v>
      </c>
      <c r="O2088" s="2">
        <v>0</v>
      </c>
      <c r="P2088" s="2">
        <v>0</v>
      </c>
      <c r="Q2088" s="2">
        <v>0</v>
      </c>
      <c r="R2088" s="2">
        <v>0</v>
      </c>
      <c r="S2088" s="2">
        <v>0</v>
      </c>
      <c r="T2088" s="2">
        <v>0</v>
      </c>
      <c r="U2088" s="2">
        <v>0</v>
      </c>
      <c r="W2088" s="2">
        <v>0</v>
      </c>
      <c r="X2088" s="2">
        <v>704</v>
      </c>
    </row>
    <row r="2089" spans="1:24" x14ac:dyDescent="0.25">
      <c r="G2089" s="2" t="s">
        <v>3488</v>
      </c>
    </row>
    <row r="2090" spans="1:24" x14ac:dyDescent="0.25">
      <c r="A2090" s="2">
        <v>1042</v>
      </c>
      <c r="B2090" s="2">
        <v>1870</v>
      </c>
      <c r="C2090" s="2" t="s">
        <v>3489</v>
      </c>
      <c r="D2090" s="2" t="s">
        <v>188</v>
      </c>
      <c r="E2090" s="2" t="s">
        <v>126</v>
      </c>
      <c r="F2090" s="2" t="s">
        <v>3490</v>
      </c>
      <c r="G2090" s="2">
        <v>701.8</v>
      </c>
      <c r="H2090" s="2">
        <v>0</v>
      </c>
      <c r="I2090" s="2">
        <v>0</v>
      </c>
      <c r="J2090" s="2">
        <v>0</v>
      </c>
      <c r="K2090" s="2">
        <v>0</v>
      </c>
      <c r="L2090" s="2">
        <v>0</v>
      </c>
      <c r="M2090" s="2">
        <v>0</v>
      </c>
      <c r="N2090" s="2">
        <v>0</v>
      </c>
      <c r="O2090" s="2">
        <v>0</v>
      </c>
      <c r="P2090" s="2">
        <v>0</v>
      </c>
      <c r="Q2090" s="2">
        <v>0</v>
      </c>
      <c r="R2090" s="2">
        <v>0</v>
      </c>
      <c r="S2090" s="2">
        <v>0</v>
      </c>
      <c r="T2090" s="2">
        <v>0</v>
      </c>
      <c r="U2090" s="2">
        <v>0</v>
      </c>
      <c r="W2090" s="2">
        <v>0</v>
      </c>
      <c r="X2090" s="2">
        <v>701.8</v>
      </c>
    </row>
    <row r="2091" spans="1:24" x14ac:dyDescent="0.25">
      <c r="G2091" s="2" t="s">
        <v>3491</v>
      </c>
    </row>
    <row r="2092" spans="1:24" x14ac:dyDescent="0.25">
      <c r="A2092" s="2">
        <v>1043</v>
      </c>
      <c r="B2092" s="2">
        <v>7242</v>
      </c>
      <c r="C2092" s="2" t="s">
        <v>3492</v>
      </c>
      <c r="D2092" s="2" t="s">
        <v>3257</v>
      </c>
      <c r="E2092" s="2" t="s">
        <v>90</v>
      </c>
      <c r="F2092" s="2" t="s">
        <v>3493</v>
      </c>
      <c r="G2092" s="2">
        <v>698.5</v>
      </c>
      <c r="H2092" s="2">
        <v>0</v>
      </c>
      <c r="I2092" s="2">
        <v>0</v>
      </c>
      <c r="J2092" s="2">
        <v>0</v>
      </c>
      <c r="K2092" s="2">
        <v>0</v>
      </c>
      <c r="L2092" s="2">
        <v>0</v>
      </c>
      <c r="M2092" s="2">
        <v>0</v>
      </c>
      <c r="N2092" s="2">
        <v>0</v>
      </c>
      <c r="O2092" s="2">
        <v>0</v>
      </c>
      <c r="P2092" s="2">
        <v>0</v>
      </c>
      <c r="Q2092" s="2">
        <v>0</v>
      </c>
      <c r="R2092" s="2">
        <v>0</v>
      </c>
      <c r="S2092" s="2">
        <v>0</v>
      </c>
      <c r="T2092" s="2">
        <v>0</v>
      </c>
      <c r="U2092" s="2">
        <v>0</v>
      </c>
      <c r="W2092" s="2">
        <v>0</v>
      </c>
      <c r="X2092" s="2">
        <v>698.5</v>
      </c>
    </row>
    <row r="2093" spans="1:24" x14ac:dyDescent="0.25">
      <c r="G2093" s="2" t="s">
        <v>3494</v>
      </c>
    </row>
    <row r="2094" spans="1:24" x14ac:dyDescent="0.25">
      <c r="A2094" s="2">
        <v>1044</v>
      </c>
      <c r="B2094" s="2">
        <v>10654</v>
      </c>
      <c r="C2094" s="2" t="s">
        <v>3495</v>
      </c>
      <c r="D2094" s="2" t="s">
        <v>2351</v>
      </c>
      <c r="E2094" s="2" t="s">
        <v>194</v>
      </c>
      <c r="F2094" s="2" t="s">
        <v>3496</v>
      </c>
      <c r="G2094" s="2">
        <v>696.3</v>
      </c>
      <c r="H2094" s="2">
        <v>0</v>
      </c>
      <c r="I2094" s="2">
        <v>0</v>
      </c>
      <c r="J2094" s="2">
        <v>0</v>
      </c>
      <c r="K2094" s="2">
        <v>0</v>
      </c>
      <c r="L2094" s="2">
        <v>0</v>
      </c>
      <c r="M2094" s="2">
        <v>0</v>
      </c>
      <c r="N2094" s="2">
        <v>0</v>
      </c>
      <c r="O2094" s="2">
        <v>0</v>
      </c>
      <c r="P2094" s="2">
        <v>0</v>
      </c>
      <c r="Q2094" s="2">
        <v>0</v>
      </c>
      <c r="R2094" s="2">
        <v>0</v>
      </c>
      <c r="S2094" s="2">
        <v>0</v>
      </c>
      <c r="T2094" s="2">
        <v>0</v>
      </c>
      <c r="U2094" s="2">
        <v>0</v>
      </c>
      <c r="W2094" s="2">
        <v>0</v>
      </c>
      <c r="X2094" s="2">
        <v>696.3</v>
      </c>
    </row>
    <row r="2095" spans="1:24" x14ac:dyDescent="0.25">
      <c r="G2095" s="2" t="s">
        <v>3497</v>
      </c>
    </row>
    <row r="2096" spans="1:24" x14ac:dyDescent="0.25">
      <c r="A2096" s="2">
        <v>1045</v>
      </c>
      <c r="B2096" s="2">
        <v>2533</v>
      </c>
      <c r="C2096" s="2" t="s">
        <v>3498</v>
      </c>
      <c r="D2096" s="2" t="s">
        <v>51</v>
      </c>
      <c r="E2096" s="2" t="s">
        <v>3499</v>
      </c>
      <c r="F2096" s="2" t="s">
        <v>3500</v>
      </c>
      <c r="G2096" s="2">
        <v>693</v>
      </c>
      <c r="H2096" s="2">
        <v>0</v>
      </c>
      <c r="I2096" s="2">
        <v>0</v>
      </c>
      <c r="J2096" s="2">
        <v>0</v>
      </c>
      <c r="K2096" s="2">
        <v>0</v>
      </c>
      <c r="L2096" s="2">
        <v>0</v>
      </c>
      <c r="M2096" s="2">
        <v>0</v>
      </c>
      <c r="N2096" s="2">
        <v>0</v>
      </c>
      <c r="O2096" s="2">
        <v>0</v>
      </c>
      <c r="P2096" s="2">
        <v>0</v>
      </c>
      <c r="Q2096" s="2">
        <v>0</v>
      </c>
      <c r="R2096" s="2">
        <v>0</v>
      </c>
      <c r="S2096" s="2">
        <v>0</v>
      </c>
      <c r="T2096" s="2">
        <v>0</v>
      </c>
      <c r="U2096" s="2">
        <v>0</v>
      </c>
      <c r="W2096" s="2">
        <v>2</v>
      </c>
      <c r="X2096" s="2">
        <v>693</v>
      </c>
    </row>
    <row r="2097" spans="1:24" x14ac:dyDescent="0.25">
      <c r="G2097" s="2" t="s">
        <v>3501</v>
      </c>
    </row>
    <row r="2098" spans="1:24" x14ac:dyDescent="0.25">
      <c r="A2098" s="2">
        <v>1046</v>
      </c>
      <c r="B2098" s="2">
        <v>9018</v>
      </c>
      <c r="C2098" s="2" t="s">
        <v>3502</v>
      </c>
      <c r="D2098" s="2" t="s">
        <v>208</v>
      </c>
      <c r="E2098" s="2" t="s">
        <v>51</v>
      </c>
      <c r="F2098" s="2" t="s">
        <v>3503</v>
      </c>
      <c r="G2098" s="2">
        <v>683.1</v>
      </c>
      <c r="H2098" s="2">
        <v>0</v>
      </c>
      <c r="I2098" s="2">
        <v>0</v>
      </c>
      <c r="J2098" s="2">
        <v>0</v>
      </c>
      <c r="K2098" s="2">
        <v>0</v>
      </c>
      <c r="L2098" s="2">
        <v>0</v>
      </c>
      <c r="M2098" s="2">
        <v>0</v>
      </c>
      <c r="N2098" s="2">
        <v>0</v>
      </c>
      <c r="O2098" s="2">
        <v>0</v>
      </c>
      <c r="P2098" s="2">
        <v>0</v>
      </c>
      <c r="Q2098" s="2">
        <v>0</v>
      </c>
      <c r="R2098" s="2">
        <v>0</v>
      </c>
      <c r="S2098" s="2">
        <v>0</v>
      </c>
      <c r="T2098" s="2">
        <v>0</v>
      </c>
      <c r="U2098" s="2">
        <v>0</v>
      </c>
      <c r="W2098" s="2">
        <v>0</v>
      </c>
      <c r="X2098" s="2">
        <v>683.1</v>
      </c>
    </row>
    <row r="2099" spans="1:24" x14ac:dyDescent="0.25">
      <c r="G2099" s="2" t="s">
        <v>3504</v>
      </c>
    </row>
    <row r="2100" spans="1:24" x14ac:dyDescent="0.25">
      <c r="A2100" s="2">
        <v>1047</v>
      </c>
      <c r="B2100" s="2">
        <v>4792</v>
      </c>
      <c r="C2100" s="2" t="s">
        <v>3505</v>
      </c>
      <c r="D2100" s="2" t="s">
        <v>84</v>
      </c>
      <c r="E2100" s="2" t="s">
        <v>567</v>
      </c>
      <c r="F2100" s="2" t="s">
        <v>3506</v>
      </c>
      <c r="G2100" s="2">
        <v>675.4</v>
      </c>
      <c r="H2100" s="2">
        <v>0</v>
      </c>
      <c r="I2100" s="2">
        <v>0</v>
      </c>
      <c r="J2100" s="2">
        <v>0</v>
      </c>
      <c r="K2100" s="2">
        <v>0</v>
      </c>
      <c r="L2100" s="2">
        <v>0</v>
      </c>
      <c r="M2100" s="2">
        <v>0</v>
      </c>
      <c r="N2100" s="2">
        <v>0</v>
      </c>
      <c r="O2100" s="2">
        <v>0</v>
      </c>
      <c r="P2100" s="2">
        <v>0</v>
      </c>
      <c r="Q2100" s="2">
        <v>0</v>
      </c>
      <c r="R2100" s="2">
        <v>0</v>
      </c>
      <c r="S2100" s="2">
        <v>0</v>
      </c>
      <c r="T2100" s="2">
        <v>0</v>
      </c>
      <c r="U2100" s="2">
        <v>0</v>
      </c>
      <c r="W2100" s="2">
        <v>0</v>
      </c>
      <c r="X2100" s="2">
        <v>675.4</v>
      </c>
    </row>
    <row r="2101" spans="1:24" x14ac:dyDescent="0.25">
      <c r="G2101" s="2" t="s">
        <v>3507</v>
      </c>
    </row>
    <row r="2102" spans="1:24" x14ac:dyDescent="0.25">
      <c r="A2102" s="2">
        <v>1048</v>
      </c>
      <c r="B2102" s="2">
        <v>15318</v>
      </c>
      <c r="C2102" s="2" t="s">
        <v>3508</v>
      </c>
      <c r="D2102" s="2" t="s">
        <v>488</v>
      </c>
      <c r="E2102" s="2" t="s">
        <v>127</v>
      </c>
      <c r="F2102" s="2" t="s">
        <v>3509</v>
      </c>
      <c r="G2102" s="2">
        <v>672.1</v>
      </c>
      <c r="H2102" s="2">
        <v>0</v>
      </c>
      <c r="I2102" s="2">
        <v>0</v>
      </c>
      <c r="J2102" s="2">
        <v>0</v>
      </c>
      <c r="K2102" s="2">
        <v>0</v>
      </c>
      <c r="L2102" s="2">
        <v>0</v>
      </c>
      <c r="M2102" s="2">
        <v>0</v>
      </c>
      <c r="N2102" s="2">
        <v>0</v>
      </c>
      <c r="O2102" s="2">
        <v>0</v>
      </c>
      <c r="P2102" s="2">
        <v>0</v>
      </c>
      <c r="Q2102" s="2">
        <v>0</v>
      </c>
      <c r="R2102" s="2">
        <v>0</v>
      </c>
      <c r="S2102" s="2">
        <v>0</v>
      </c>
      <c r="T2102" s="2">
        <v>0</v>
      </c>
      <c r="U2102" s="2">
        <v>0</v>
      </c>
      <c r="W2102" s="2">
        <v>0</v>
      </c>
      <c r="X2102" s="2">
        <v>672.1</v>
      </c>
    </row>
    <row r="2103" spans="1:24" x14ac:dyDescent="0.25">
      <c r="G2103" s="2" t="s">
        <v>3510</v>
      </c>
    </row>
    <row r="2104" spans="1:24" x14ac:dyDescent="0.25">
      <c r="A2104" s="2">
        <v>1049</v>
      </c>
      <c r="B2104" s="2">
        <v>16507</v>
      </c>
      <c r="C2104" s="2" t="s">
        <v>3511</v>
      </c>
      <c r="D2104" s="2" t="s">
        <v>3512</v>
      </c>
      <c r="E2104" s="2" t="s">
        <v>1485</v>
      </c>
      <c r="F2104" s="2" t="s">
        <v>3513</v>
      </c>
      <c r="G2104" s="2">
        <v>600.6</v>
      </c>
      <c r="H2104" s="2">
        <v>0</v>
      </c>
      <c r="I2104" s="2">
        <v>0</v>
      </c>
      <c r="J2104" s="2">
        <v>0</v>
      </c>
      <c r="K2104" s="2">
        <v>0</v>
      </c>
      <c r="L2104" s="2">
        <v>0</v>
      </c>
      <c r="M2104" s="2">
        <v>50</v>
      </c>
      <c r="N2104" s="2">
        <v>0</v>
      </c>
      <c r="O2104" s="2">
        <v>0</v>
      </c>
      <c r="P2104" s="2">
        <v>0</v>
      </c>
      <c r="Q2104" s="2">
        <v>0</v>
      </c>
      <c r="R2104" s="2">
        <v>0</v>
      </c>
      <c r="S2104" s="2">
        <v>0</v>
      </c>
      <c r="T2104" s="2">
        <v>0</v>
      </c>
      <c r="U2104" s="2">
        <v>0</v>
      </c>
      <c r="W2104" s="2">
        <v>0</v>
      </c>
      <c r="X2104" s="2">
        <v>650.6</v>
      </c>
    </row>
    <row r="2105" spans="1:24" x14ac:dyDescent="0.25">
      <c r="G2105" s="2" t="s">
        <v>3514</v>
      </c>
    </row>
    <row r="2106" spans="1:24" x14ac:dyDescent="0.25">
      <c r="A2106" s="2" t="s">
        <v>3515</v>
      </c>
    </row>
    <row r="2107" spans="1:24" x14ac:dyDescent="0.25">
      <c r="A2107" s="2" t="s">
        <v>3524</v>
      </c>
    </row>
    <row r="2108" spans="1:24" x14ac:dyDescent="0.25">
      <c r="A2108" s="2" t="s">
        <v>3525</v>
      </c>
    </row>
    <row r="2109" spans="1:24" x14ac:dyDescent="0.25">
      <c r="A2109" s="2" t="s">
        <v>3526</v>
      </c>
    </row>
    <row r="2110" spans="1:24" x14ac:dyDescent="0.25">
      <c r="A2110" s="2" t="s">
        <v>3527</v>
      </c>
    </row>
    <row r="2111" spans="1:24" x14ac:dyDescent="0.25">
      <c r="A2111" s="2" t="s">
        <v>3528</v>
      </c>
    </row>
    <row r="2112" spans="1:24" x14ac:dyDescent="0.25">
      <c r="A2112" s="2" t="s">
        <v>3529</v>
      </c>
    </row>
    <row r="2113" spans="1:1" x14ac:dyDescent="0.25">
      <c r="A2113" s="2" t="s">
        <v>3530</v>
      </c>
    </row>
    <row r="2114" spans="1:1" x14ac:dyDescent="0.25">
      <c r="A2114" s="2" t="s">
        <v>3531</v>
      </c>
    </row>
    <row r="2115" spans="1:1" x14ac:dyDescent="0.25">
      <c r="A2115" s="2" t="s">
        <v>3516</v>
      </c>
    </row>
    <row r="2116" spans="1:1" x14ac:dyDescent="0.25">
      <c r="A2116" s="2" t="s">
        <v>3517</v>
      </c>
    </row>
    <row r="2117" spans="1:1" x14ac:dyDescent="0.25">
      <c r="A2117" s="2" t="s">
        <v>3518</v>
      </c>
    </row>
    <row r="2118" spans="1:1" x14ac:dyDescent="0.25">
      <c r="A2118" s="2" t="s">
        <v>3519</v>
      </c>
    </row>
    <row r="2119" spans="1:1" x14ac:dyDescent="0.25">
      <c r="A2119" s="2" t="s">
        <v>3520</v>
      </c>
    </row>
    <row r="2120" spans="1:1" x14ac:dyDescent="0.25">
      <c r="A2120" s="2" t="s">
        <v>3521</v>
      </c>
    </row>
    <row r="2121" spans="1:1" x14ac:dyDescent="0.25">
      <c r="A2121" s="2" t="s">
        <v>3522</v>
      </c>
    </row>
    <row r="2122" spans="1:1" x14ac:dyDescent="0.25">
      <c r="A2122" s="2" t="s">
        <v>3523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25"/>
  <sheetViews>
    <sheetView workbookViewId="0">
      <selection activeCell="B24" sqref="B24"/>
    </sheetView>
  </sheetViews>
  <sheetFormatPr defaultRowHeight="15" x14ac:dyDescent="0.25"/>
  <sheetData>
    <row r="1" spans="1:26" x14ac:dyDescent="0.25">
      <c r="A1" t="s">
        <v>0</v>
      </c>
    </row>
    <row r="2" spans="1:26" x14ac:dyDescent="0.25">
      <c r="A2" t="s">
        <v>1</v>
      </c>
    </row>
    <row r="3" spans="1:26" x14ac:dyDescent="0.25">
      <c r="A3" t="s">
        <v>2</v>
      </c>
    </row>
    <row r="4" spans="1:26" x14ac:dyDescent="0.25">
      <c r="A4" t="s">
        <v>3</v>
      </c>
    </row>
    <row r="5" spans="1:26" x14ac:dyDescent="0.25">
      <c r="A5" t="s">
        <v>4</v>
      </c>
    </row>
    <row r="7" spans="1:26" x14ac:dyDescent="0.25">
      <c r="A7" t="s">
        <v>5</v>
      </c>
      <c r="C7" t="s">
        <v>6</v>
      </c>
      <c r="D7" t="s">
        <v>7</v>
      </c>
      <c r="E7" t="s">
        <v>8</v>
      </c>
      <c r="F7" t="s">
        <v>9</v>
      </c>
      <c r="G7" t="s">
        <v>10</v>
      </c>
      <c r="H7" t="s">
        <v>11</v>
      </c>
      <c r="I7">
        <v>1</v>
      </c>
      <c r="J7">
        <v>2</v>
      </c>
      <c r="K7">
        <v>3</v>
      </c>
      <c r="L7">
        <v>4</v>
      </c>
      <c r="M7">
        <v>5</v>
      </c>
      <c r="N7">
        <v>6</v>
      </c>
      <c r="O7">
        <v>7</v>
      </c>
      <c r="P7">
        <v>8</v>
      </c>
      <c r="Q7">
        <v>9</v>
      </c>
      <c r="R7">
        <v>10</v>
      </c>
      <c r="S7">
        <v>11</v>
      </c>
      <c r="T7">
        <v>12</v>
      </c>
      <c r="U7">
        <v>13</v>
      </c>
      <c r="V7">
        <v>14</v>
      </c>
      <c r="W7">
        <v>15</v>
      </c>
      <c r="X7">
        <v>16</v>
      </c>
      <c r="Y7">
        <v>17</v>
      </c>
      <c r="Z7" t="s">
        <v>12</v>
      </c>
    </row>
    <row r="8" spans="1:26" x14ac:dyDescent="0.25">
      <c r="A8">
        <v>1</v>
      </c>
      <c r="B8" t="s">
        <v>13</v>
      </c>
      <c r="C8">
        <v>13919</v>
      </c>
      <c r="D8" t="s">
        <v>14</v>
      </c>
      <c r="E8" t="s">
        <v>15</v>
      </c>
      <c r="F8" t="s">
        <v>16</v>
      </c>
      <c r="G8" t="s">
        <v>17</v>
      </c>
      <c r="H8" t="str">
        <f>"201402003767"</f>
        <v>201402003767</v>
      </c>
      <c r="I8">
        <v>936.1</v>
      </c>
      <c r="J8">
        <v>150</v>
      </c>
      <c r="K8">
        <v>0</v>
      </c>
      <c r="L8">
        <v>0</v>
      </c>
      <c r="M8">
        <v>200</v>
      </c>
      <c r="N8">
        <v>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Y8">
        <v>2</v>
      </c>
      <c r="Z8">
        <v>1336.1</v>
      </c>
    </row>
    <row r="9" spans="1:26" x14ac:dyDescent="0.25">
      <c r="H9" t="s">
        <v>18</v>
      </c>
    </row>
    <row r="10" spans="1:26" x14ac:dyDescent="0.25">
      <c r="A10">
        <v>2</v>
      </c>
      <c r="B10" t="s">
        <v>19</v>
      </c>
      <c r="C10">
        <v>9168</v>
      </c>
      <c r="D10" t="s">
        <v>20</v>
      </c>
      <c r="E10" t="s">
        <v>21</v>
      </c>
      <c r="F10" t="s">
        <v>22</v>
      </c>
      <c r="G10" t="s">
        <v>23</v>
      </c>
      <c r="H10" t="str">
        <f>"201512002376"</f>
        <v>201512002376</v>
      </c>
      <c r="I10">
        <v>986.7</v>
      </c>
      <c r="J10">
        <v>0</v>
      </c>
      <c r="K10">
        <v>0</v>
      </c>
      <c r="L10">
        <v>0</v>
      </c>
      <c r="M10">
        <v>260</v>
      </c>
      <c r="N10">
        <v>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Y10">
        <v>0</v>
      </c>
      <c r="Z10">
        <v>1276.7</v>
      </c>
    </row>
    <row r="11" spans="1:26" x14ac:dyDescent="0.25">
      <c r="H11" t="s">
        <v>24</v>
      </c>
    </row>
    <row r="12" spans="1:26" x14ac:dyDescent="0.25">
      <c r="A12">
        <v>3</v>
      </c>
      <c r="B12" t="s">
        <v>25</v>
      </c>
      <c r="C12">
        <v>4192</v>
      </c>
      <c r="D12" t="s">
        <v>26</v>
      </c>
      <c r="E12" t="s">
        <v>27</v>
      </c>
      <c r="F12" t="s">
        <v>28</v>
      </c>
      <c r="G12" t="s">
        <v>29</v>
      </c>
      <c r="H12" t="str">
        <f>"00503895"</f>
        <v>00503895</v>
      </c>
      <c r="I12">
        <v>1002.1</v>
      </c>
      <c r="J12">
        <v>0</v>
      </c>
      <c r="K12">
        <v>0</v>
      </c>
      <c r="L12">
        <v>0</v>
      </c>
      <c r="M12">
        <v>200</v>
      </c>
      <c r="N12">
        <v>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Y12">
        <v>0</v>
      </c>
      <c r="Z12">
        <v>1272.0999999999999</v>
      </c>
    </row>
    <row r="13" spans="1:26" x14ac:dyDescent="0.25">
      <c r="H13" t="s">
        <v>30</v>
      </c>
    </row>
    <row r="14" spans="1:26" x14ac:dyDescent="0.25">
      <c r="A14">
        <v>4</v>
      </c>
      <c r="B14" t="s">
        <v>19</v>
      </c>
      <c r="C14">
        <v>7055</v>
      </c>
      <c r="D14" t="s">
        <v>31</v>
      </c>
      <c r="E14" t="s">
        <v>32</v>
      </c>
      <c r="F14" t="s">
        <v>33</v>
      </c>
      <c r="G14" t="s">
        <v>34</v>
      </c>
      <c r="H14" t="str">
        <f>"201511030280"</f>
        <v>201511030280</v>
      </c>
      <c r="I14">
        <v>957</v>
      </c>
      <c r="J14">
        <v>0</v>
      </c>
      <c r="K14">
        <v>0</v>
      </c>
      <c r="L14">
        <v>0</v>
      </c>
      <c r="M14">
        <v>260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Y14">
        <v>0</v>
      </c>
      <c r="Z14">
        <v>1217</v>
      </c>
    </row>
    <row r="15" spans="1:26" x14ac:dyDescent="0.25">
      <c r="H15" t="s">
        <v>35</v>
      </c>
    </row>
    <row r="16" spans="1:26" x14ac:dyDescent="0.25">
      <c r="A16">
        <v>5</v>
      </c>
      <c r="B16" t="s">
        <v>36</v>
      </c>
      <c r="C16">
        <v>12129</v>
      </c>
      <c r="D16" t="s">
        <v>37</v>
      </c>
      <c r="E16" t="s">
        <v>38</v>
      </c>
      <c r="F16" t="s">
        <v>39</v>
      </c>
      <c r="G16" t="s">
        <v>40</v>
      </c>
      <c r="H16" t="str">
        <f>"201511020744"</f>
        <v>201511020744</v>
      </c>
      <c r="I16">
        <v>942.7</v>
      </c>
      <c r="J16">
        <v>0</v>
      </c>
      <c r="K16">
        <v>0</v>
      </c>
      <c r="L16">
        <v>0</v>
      </c>
      <c r="M16">
        <v>200</v>
      </c>
      <c r="N16">
        <v>0</v>
      </c>
      <c r="O16">
        <v>70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Y16">
        <v>0</v>
      </c>
      <c r="Z16">
        <v>1212.7</v>
      </c>
    </row>
    <row r="17" spans="1:26" x14ac:dyDescent="0.25">
      <c r="H17" t="s">
        <v>41</v>
      </c>
    </row>
    <row r="18" spans="1:26" x14ac:dyDescent="0.25">
      <c r="A18">
        <v>6</v>
      </c>
      <c r="B18" t="s">
        <v>42</v>
      </c>
      <c r="C18">
        <v>5940</v>
      </c>
      <c r="D18" t="s">
        <v>43</v>
      </c>
      <c r="E18" t="s">
        <v>44</v>
      </c>
      <c r="F18" t="s">
        <v>45</v>
      </c>
      <c r="G18" t="s">
        <v>46</v>
      </c>
      <c r="H18" t="str">
        <f>"201511011795"</f>
        <v>201511011795</v>
      </c>
      <c r="I18">
        <v>944.9</v>
      </c>
      <c r="J18">
        <v>0</v>
      </c>
      <c r="K18">
        <v>0</v>
      </c>
      <c r="L18">
        <v>0</v>
      </c>
      <c r="M18">
        <v>200</v>
      </c>
      <c r="N18">
        <v>0</v>
      </c>
      <c r="O18">
        <v>30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0</v>
      </c>
      <c r="W18">
        <v>0</v>
      </c>
      <c r="Y18">
        <v>0</v>
      </c>
      <c r="Z18">
        <v>1204.9000000000001</v>
      </c>
    </row>
    <row r="19" spans="1:26" x14ac:dyDescent="0.25">
      <c r="H19" t="s">
        <v>47</v>
      </c>
    </row>
    <row r="20" spans="1:26" x14ac:dyDescent="0.25">
      <c r="A20">
        <v>7</v>
      </c>
      <c r="B20" t="s">
        <v>48</v>
      </c>
      <c r="C20">
        <v>7355</v>
      </c>
      <c r="D20" t="s">
        <v>49</v>
      </c>
      <c r="E20" t="s">
        <v>50</v>
      </c>
      <c r="F20" t="s">
        <v>51</v>
      </c>
      <c r="G20" t="s">
        <v>52</v>
      </c>
      <c r="H20" t="str">
        <f>"201511028874"</f>
        <v>201511028874</v>
      </c>
      <c r="I20">
        <v>972.4</v>
      </c>
      <c r="J20">
        <v>0</v>
      </c>
      <c r="K20">
        <v>0</v>
      </c>
      <c r="L20">
        <v>0</v>
      </c>
      <c r="M20">
        <v>200</v>
      </c>
      <c r="N20">
        <v>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Y20">
        <v>0</v>
      </c>
      <c r="Z20">
        <v>1202.4000000000001</v>
      </c>
    </row>
    <row r="21" spans="1:26" x14ac:dyDescent="0.25">
      <c r="H21" t="s">
        <v>53</v>
      </c>
    </row>
    <row r="22" spans="1:26" x14ac:dyDescent="0.25">
      <c r="A22">
        <v>8</v>
      </c>
      <c r="B22" t="s">
        <v>54</v>
      </c>
      <c r="C22">
        <v>3350</v>
      </c>
      <c r="D22" t="s">
        <v>55</v>
      </c>
      <c r="E22" t="s">
        <v>56</v>
      </c>
      <c r="F22" t="s">
        <v>39</v>
      </c>
      <c r="G22" t="s">
        <v>57</v>
      </c>
      <c r="H22" t="str">
        <f>"201402003704"</f>
        <v>201402003704</v>
      </c>
      <c r="I22">
        <v>909.7</v>
      </c>
      <c r="J22">
        <v>0</v>
      </c>
      <c r="K22">
        <v>0</v>
      </c>
      <c r="L22">
        <v>0</v>
      </c>
      <c r="M22">
        <v>200</v>
      </c>
      <c r="N22">
        <v>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Y22">
        <v>0</v>
      </c>
      <c r="Z22">
        <v>1179.7</v>
      </c>
    </row>
    <row r="23" spans="1:26" x14ac:dyDescent="0.25">
      <c r="H23" t="s">
        <v>58</v>
      </c>
    </row>
    <row r="24" spans="1:26" x14ac:dyDescent="0.25">
      <c r="A24">
        <v>9</v>
      </c>
      <c r="B24" t="s">
        <v>59</v>
      </c>
      <c r="C24">
        <v>11154</v>
      </c>
      <c r="D24" t="s">
        <v>60</v>
      </c>
      <c r="E24" t="s">
        <v>61</v>
      </c>
      <c r="F24" t="s">
        <v>62</v>
      </c>
      <c r="G24" t="s">
        <v>63</v>
      </c>
      <c r="H24" t="str">
        <f>"201511031943"</f>
        <v>201511031943</v>
      </c>
      <c r="I24">
        <v>949.3</v>
      </c>
      <c r="J24">
        <v>0</v>
      </c>
      <c r="K24">
        <v>0</v>
      </c>
      <c r="L24">
        <v>0</v>
      </c>
      <c r="M24">
        <v>200</v>
      </c>
      <c r="N24">
        <v>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Y24">
        <v>0</v>
      </c>
      <c r="Z24">
        <v>1179.3</v>
      </c>
    </row>
    <row r="25" spans="1:26" x14ac:dyDescent="0.25">
      <c r="H25" t="s">
        <v>64</v>
      </c>
    </row>
    <row r="26" spans="1:26" s="1" customFormat="1" x14ac:dyDescent="0.25">
      <c r="A26" s="1">
        <v>10</v>
      </c>
      <c r="B26" s="1" t="s">
        <v>76</v>
      </c>
      <c r="C26" s="1">
        <v>11995</v>
      </c>
      <c r="D26" s="1" t="s">
        <v>3532</v>
      </c>
      <c r="E26" s="1" t="s">
        <v>3533</v>
      </c>
      <c r="F26" s="1" t="s">
        <v>16</v>
      </c>
      <c r="G26" s="1" t="s">
        <v>3534</v>
      </c>
      <c r="H26" s="1" t="str">
        <f>"201510002318"</f>
        <v>201510002318</v>
      </c>
      <c r="I26" s="1">
        <v>878.9</v>
      </c>
      <c r="J26" s="1">
        <v>0</v>
      </c>
      <c r="K26" s="1">
        <v>0</v>
      </c>
      <c r="L26" s="1">
        <v>0</v>
      </c>
      <c r="M26" s="1">
        <v>200</v>
      </c>
      <c r="N26" s="1">
        <v>0</v>
      </c>
      <c r="O26" s="1">
        <v>70</v>
      </c>
      <c r="P26" s="1">
        <v>30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Y26" s="1">
        <v>0</v>
      </c>
      <c r="Z26" s="1">
        <v>1178.9000000000001</v>
      </c>
    </row>
    <row r="27" spans="1:26" s="1" customFormat="1" x14ac:dyDescent="0.25">
      <c r="H27" s="1" t="s">
        <v>3535</v>
      </c>
    </row>
    <row r="28" spans="1:26" s="1" customFormat="1" x14ac:dyDescent="0.25">
      <c r="A28" s="1">
        <v>11</v>
      </c>
      <c r="C28" s="1">
        <v>17695</v>
      </c>
      <c r="D28" s="1" t="s">
        <v>3536</v>
      </c>
      <c r="E28" s="1" t="s">
        <v>248</v>
      </c>
      <c r="F28" s="1" t="s">
        <v>133</v>
      </c>
      <c r="G28" s="1" t="s">
        <v>3537</v>
      </c>
      <c r="H28" s="1" t="str">
        <f>"201511030543"</f>
        <v>201511030543</v>
      </c>
      <c r="I28" s="1">
        <v>877.8</v>
      </c>
      <c r="J28" s="1">
        <v>0</v>
      </c>
      <c r="K28" s="1">
        <v>0</v>
      </c>
      <c r="L28" s="1">
        <v>0</v>
      </c>
      <c r="M28" s="1">
        <v>200</v>
      </c>
      <c r="N28" s="1">
        <v>0</v>
      </c>
      <c r="O28" s="1">
        <v>70</v>
      </c>
      <c r="P28" s="1">
        <v>0</v>
      </c>
      <c r="Q28" s="1">
        <v>0</v>
      </c>
      <c r="R28" s="1">
        <v>0</v>
      </c>
      <c r="S28" s="1">
        <v>30</v>
      </c>
      <c r="T28" s="1">
        <v>0</v>
      </c>
      <c r="U28" s="1">
        <v>0</v>
      </c>
      <c r="V28" s="1">
        <v>0</v>
      </c>
      <c r="W28" s="1">
        <v>0</v>
      </c>
      <c r="Y28" s="1">
        <v>0</v>
      </c>
      <c r="Z28" s="1">
        <v>1177.8</v>
      </c>
    </row>
    <row r="29" spans="1:26" s="1" customFormat="1" x14ac:dyDescent="0.25">
      <c r="H29" s="1" t="s">
        <v>3538</v>
      </c>
    </row>
    <row r="30" spans="1:26" s="1" customFormat="1" x14ac:dyDescent="0.25">
      <c r="A30" s="1">
        <v>12</v>
      </c>
      <c r="B30" s="1" t="s">
        <v>65</v>
      </c>
      <c r="C30" s="1">
        <v>2858</v>
      </c>
      <c r="D30" s="1" t="s">
        <v>66</v>
      </c>
      <c r="E30" s="1" t="s">
        <v>67</v>
      </c>
      <c r="F30" s="1" t="s">
        <v>68</v>
      </c>
      <c r="G30" s="1" t="s">
        <v>69</v>
      </c>
      <c r="H30" s="1" t="str">
        <f>"00022382"</f>
        <v>00022382</v>
      </c>
      <c r="I30" s="1">
        <v>905.3</v>
      </c>
      <c r="J30" s="1">
        <v>0</v>
      </c>
      <c r="K30" s="1">
        <v>0</v>
      </c>
      <c r="L30" s="1">
        <v>0</v>
      </c>
      <c r="M30" s="1">
        <v>200</v>
      </c>
      <c r="N30" s="1">
        <v>0</v>
      </c>
      <c r="O30" s="1">
        <v>70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Y30" s="1">
        <v>0</v>
      </c>
      <c r="Z30" s="1">
        <v>1175.3</v>
      </c>
    </row>
    <row r="31" spans="1:26" s="1" customFormat="1" x14ac:dyDescent="0.25">
      <c r="H31" s="1" t="s">
        <v>70</v>
      </c>
    </row>
    <row r="32" spans="1:26" s="1" customFormat="1" x14ac:dyDescent="0.25">
      <c r="A32" s="1">
        <v>13</v>
      </c>
      <c r="B32" s="1" t="s">
        <v>82</v>
      </c>
      <c r="C32" s="1">
        <v>3333</v>
      </c>
      <c r="D32" s="1" t="s">
        <v>3539</v>
      </c>
      <c r="E32" s="1" t="s">
        <v>2321</v>
      </c>
      <c r="F32" s="1" t="s">
        <v>16</v>
      </c>
      <c r="G32" s="1" t="s">
        <v>3540</v>
      </c>
      <c r="H32" s="1" t="str">
        <f>"201406001311"</f>
        <v>201406001311</v>
      </c>
      <c r="I32" s="1">
        <v>984.5</v>
      </c>
      <c r="J32" s="1">
        <v>0</v>
      </c>
      <c r="K32" s="1">
        <v>0</v>
      </c>
      <c r="L32" s="1">
        <v>0</v>
      </c>
      <c r="M32" s="1">
        <v>0</v>
      </c>
      <c r="N32" s="1">
        <v>100</v>
      </c>
      <c r="O32" s="1">
        <v>30</v>
      </c>
      <c r="P32" s="1">
        <v>50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Y32" s="1">
        <v>0</v>
      </c>
      <c r="Z32" s="1">
        <v>1164.5</v>
      </c>
    </row>
    <row r="33" spans="1:26" s="1" customFormat="1" x14ac:dyDescent="0.25">
      <c r="H33" s="1" t="s">
        <v>3541</v>
      </c>
    </row>
    <row r="34" spans="1:26" s="1" customFormat="1" x14ac:dyDescent="0.25">
      <c r="A34" s="1">
        <v>14</v>
      </c>
      <c r="C34" s="1">
        <v>16303</v>
      </c>
      <c r="D34" s="1" t="s">
        <v>2935</v>
      </c>
      <c r="E34" s="1" t="s">
        <v>235</v>
      </c>
      <c r="F34" s="1" t="s">
        <v>194</v>
      </c>
      <c r="G34" s="1" t="s">
        <v>3542</v>
      </c>
      <c r="H34" s="1" t="str">
        <f>"00043567"</f>
        <v>00043567</v>
      </c>
      <c r="I34" s="1">
        <v>932.8</v>
      </c>
      <c r="J34" s="1">
        <v>0</v>
      </c>
      <c r="K34" s="1">
        <v>0</v>
      </c>
      <c r="L34" s="1">
        <v>0</v>
      </c>
      <c r="M34" s="1">
        <v>200</v>
      </c>
      <c r="N34" s="1">
        <v>0</v>
      </c>
      <c r="O34" s="1">
        <v>30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Y34" s="1">
        <v>0</v>
      </c>
      <c r="Z34" s="1">
        <v>1162.8</v>
      </c>
    </row>
    <row r="35" spans="1:26" s="1" customFormat="1" x14ac:dyDescent="0.25">
      <c r="H35" s="1" t="s">
        <v>3543</v>
      </c>
    </row>
    <row r="36" spans="1:26" s="1" customFormat="1" x14ac:dyDescent="0.25">
      <c r="A36" s="1">
        <v>15</v>
      </c>
      <c r="B36" s="1" t="s">
        <v>783</v>
      </c>
      <c r="C36" s="1">
        <v>183</v>
      </c>
      <c r="D36" s="1" t="s">
        <v>616</v>
      </c>
      <c r="E36" s="1" t="s">
        <v>164</v>
      </c>
      <c r="F36" s="1" t="s">
        <v>194</v>
      </c>
      <c r="G36" s="1" t="s">
        <v>3544</v>
      </c>
      <c r="H36" s="1" t="str">
        <f>"201508000208"</f>
        <v>201508000208</v>
      </c>
      <c r="I36" s="1">
        <v>932.8</v>
      </c>
      <c r="J36" s="1">
        <v>0</v>
      </c>
      <c r="K36" s="1">
        <v>0</v>
      </c>
      <c r="L36" s="1">
        <v>0</v>
      </c>
      <c r="M36" s="1">
        <v>200</v>
      </c>
      <c r="N36" s="1">
        <v>0</v>
      </c>
      <c r="O36" s="1">
        <v>30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Y36" s="1">
        <v>0</v>
      </c>
      <c r="Z36" s="1">
        <v>1162.8</v>
      </c>
    </row>
    <row r="37" spans="1:26" s="1" customFormat="1" x14ac:dyDescent="0.25">
      <c r="H37" s="1" t="s">
        <v>3545</v>
      </c>
    </row>
    <row r="38" spans="1:26" s="1" customFormat="1" x14ac:dyDescent="0.25">
      <c r="A38" s="1">
        <v>16</v>
      </c>
      <c r="C38" s="1">
        <v>10006</v>
      </c>
      <c r="D38" s="1" t="s">
        <v>3546</v>
      </c>
      <c r="E38" s="1" t="s">
        <v>182</v>
      </c>
      <c r="F38" s="1" t="s">
        <v>39</v>
      </c>
      <c r="G38" s="1" t="s">
        <v>3547</v>
      </c>
      <c r="H38" s="1" t="str">
        <f>"00049389"</f>
        <v>00049389</v>
      </c>
      <c r="I38" s="1">
        <v>928.4</v>
      </c>
      <c r="J38" s="1">
        <v>0</v>
      </c>
      <c r="K38" s="1">
        <v>0</v>
      </c>
      <c r="L38" s="1">
        <v>0</v>
      </c>
      <c r="M38" s="1">
        <v>200</v>
      </c>
      <c r="N38" s="1">
        <v>0</v>
      </c>
      <c r="O38" s="1">
        <v>30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Y38" s="1">
        <v>0</v>
      </c>
      <c r="Z38" s="1">
        <v>1158.4000000000001</v>
      </c>
    </row>
    <row r="39" spans="1:26" s="1" customFormat="1" x14ac:dyDescent="0.25">
      <c r="H39" s="1" t="s">
        <v>3548</v>
      </c>
    </row>
    <row r="40" spans="1:26" s="1" customFormat="1" x14ac:dyDescent="0.25">
      <c r="A40" s="1">
        <v>17</v>
      </c>
      <c r="C40" s="1">
        <v>2491</v>
      </c>
      <c r="D40" s="1" t="s">
        <v>3549</v>
      </c>
      <c r="E40" s="1" t="s">
        <v>1399</v>
      </c>
      <c r="F40" s="1" t="s">
        <v>2022</v>
      </c>
      <c r="G40" s="1" t="s">
        <v>3550</v>
      </c>
      <c r="H40" s="1" t="str">
        <f>"201404000142"</f>
        <v>201404000142</v>
      </c>
      <c r="I40" s="1">
        <v>878.9</v>
      </c>
      <c r="J40" s="1">
        <v>0</v>
      </c>
      <c r="K40" s="1">
        <v>0</v>
      </c>
      <c r="L40" s="1">
        <v>0</v>
      </c>
      <c r="M40" s="1">
        <v>200</v>
      </c>
      <c r="N40" s="1">
        <v>0</v>
      </c>
      <c r="O40" s="1">
        <v>70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Y40" s="1">
        <v>0</v>
      </c>
      <c r="Z40" s="1">
        <v>1148.9000000000001</v>
      </c>
    </row>
    <row r="41" spans="1:26" s="1" customFormat="1" x14ac:dyDescent="0.25">
      <c r="H41" s="1" t="s">
        <v>3551</v>
      </c>
    </row>
    <row r="42" spans="1:26" s="1" customFormat="1" x14ac:dyDescent="0.25">
      <c r="A42" s="1">
        <v>18</v>
      </c>
      <c r="C42" s="1">
        <v>5834</v>
      </c>
      <c r="D42" s="1" t="s">
        <v>3552</v>
      </c>
      <c r="E42" s="1" t="s">
        <v>164</v>
      </c>
      <c r="F42" s="1" t="s">
        <v>73</v>
      </c>
      <c r="G42" s="1" t="s">
        <v>3553</v>
      </c>
      <c r="H42" s="1" t="str">
        <f>"201510004247"</f>
        <v>201510004247</v>
      </c>
      <c r="I42" s="1">
        <v>918.5</v>
      </c>
      <c r="J42" s="1">
        <v>0</v>
      </c>
      <c r="K42" s="1">
        <v>0</v>
      </c>
      <c r="L42" s="1">
        <v>0</v>
      </c>
      <c r="M42" s="1">
        <v>200</v>
      </c>
      <c r="N42" s="1">
        <v>0</v>
      </c>
      <c r="O42" s="1">
        <v>30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Y42" s="1">
        <v>0</v>
      </c>
      <c r="Z42" s="1">
        <v>1148.5</v>
      </c>
    </row>
    <row r="43" spans="1:26" s="1" customFormat="1" x14ac:dyDescent="0.25">
      <c r="H43" s="1" t="s">
        <v>3554</v>
      </c>
    </row>
    <row r="44" spans="1:26" s="1" customFormat="1" x14ac:dyDescent="0.25">
      <c r="A44" s="1">
        <v>19</v>
      </c>
      <c r="C44" s="1">
        <v>2283</v>
      </c>
      <c r="D44" s="1" t="s">
        <v>3555</v>
      </c>
      <c r="E44" s="1" t="s">
        <v>208</v>
      </c>
      <c r="F44" s="1" t="s">
        <v>540</v>
      </c>
      <c r="G44" s="1" t="s">
        <v>3556</v>
      </c>
      <c r="H44" s="1" t="str">
        <f>"00101584"</f>
        <v>00101584</v>
      </c>
      <c r="I44" s="1">
        <v>914.1</v>
      </c>
      <c r="J44" s="1">
        <v>0</v>
      </c>
      <c r="K44" s="1">
        <v>0</v>
      </c>
      <c r="L44" s="1">
        <v>0</v>
      </c>
      <c r="M44" s="1">
        <v>200</v>
      </c>
      <c r="N44" s="1">
        <v>0</v>
      </c>
      <c r="O44" s="1">
        <v>30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Y44" s="1">
        <v>0</v>
      </c>
      <c r="Z44" s="1">
        <v>1144.0999999999999</v>
      </c>
    </row>
    <row r="45" spans="1:26" s="1" customFormat="1" x14ac:dyDescent="0.25">
      <c r="H45" s="1" t="s">
        <v>3557</v>
      </c>
    </row>
    <row r="46" spans="1:26" s="1" customFormat="1" x14ac:dyDescent="0.25">
      <c r="A46" s="1">
        <v>20</v>
      </c>
      <c r="C46" s="1">
        <v>7428</v>
      </c>
      <c r="D46" s="1" t="s">
        <v>3558</v>
      </c>
      <c r="E46" s="1" t="s">
        <v>107</v>
      </c>
      <c r="F46" s="1" t="s">
        <v>1264</v>
      </c>
      <c r="G46" s="1" t="s">
        <v>3559</v>
      </c>
      <c r="H46" s="1" t="str">
        <f>"201507004275"</f>
        <v>201507004275</v>
      </c>
      <c r="I46" s="1">
        <v>908.6</v>
      </c>
      <c r="J46" s="1">
        <v>0</v>
      </c>
      <c r="K46" s="1">
        <v>0</v>
      </c>
      <c r="L46" s="1">
        <v>0</v>
      </c>
      <c r="M46" s="1">
        <v>200</v>
      </c>
      <c r="N46" s="1">
        <v>0</v>
      </c>
      <c r="O46" s="1">
        <v>30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Y46" s="1">
        <v>0</v>
      </c>
      <c r="Z46" s="1">
        <v>1138.5999999999999</v>
      </c>
    </row>
    <row r="47" spans="1:26" s="1" customFormat="1" x14ac:dyDescent="0.25">
      <c r="H47" s="1" t="s">
        <v>3560</v>
      </c>
    </row>
    <row r="48" spans="1:26" s="1" customFormat="1" x14ac:dyDescent="0.25">
      <c r="A48" s="1">
        <v>21</v>
      </c>
      <c r="C48" s="1">
        <v>15591</v>
      </c>
      <c r="D48" s="1" t="s">
        <v>3561</v>
      </c>
      <c r="E48" s="1" t="s">
        <v>89</v>
      </c>
      <c r="F48" s="1" t="s">
        <v>39</v>
      </c>
      <c r="G48" s="1" t="s">
        <v>3562</v>
      </c>
      <c r="H48" s="1" t="str">
        <f>"201511025829"</f>
        <v>201511025829</v>
      </c>
      <c r="I48" s="1">
        <v>866.8</v>
      </c>
      <c r="J48" s="1">
        <v>0</v>
      </c>
      <c r="K48" s="1">
        <v>0</v>
      </c>
      <c r="L48" s="1">
        <v>0</v>
      </c>
      <c r="M48" s="1">
        <v>200</v>
      </c>
      <c r="N48" s="1">
        <v>0</v>
      </c>
      <c r="O48" s="1">
        <v>70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Y48" s="1">
        <v>0</v>
      </c>
      <c r="Z48" s="1">
        <v>1136.8</v>
      </c>
    </row>
    <row r="49" spans="1:26" s="1" customFormat="1" x14ac:dyDescent="0.25">
      <c r="H49" s="1" t="s">
        <v>3563</v>
      </c>
    </row>
    <row r="50" spans="1:26" s="1" customFormat="1" x14ac:dyDescent="0.25">
      <c r="A50" s="1">
        <v>22</v>
      </c>
      <c r="C50" s="1">
        <v>4660</v>
      </c>
      <c r="D50" s="1" t="s">
        <v>3564</v>
      </c>
      <c r="E50" s="1" t="s">
        <v>56</v>
      </c>
      <c r="F50" s="1" t="s">
        <v>193</v>
      </c>
      <c r="G50" s="1" t="s">
        <v>3565</v>
      </c>
      <c r="H50" s="1" t="str">
        <f>"201511025742"</f>
        <v>201511025742</v>
      </c>
      <c r="I50" s="1">
        <v>906.4</v>
      </c>
      <c r="J50" s="1">
        <v>0</v>
      </c>
      <c r="K50" s="1">
        <v>0</v>
      </c>
      <c r="L50" s="1">
        <v>0</v>
      </c>
      <c r="M50" s="1">
        <v>200</v>
      </c>
      <c r="N50" s="1">
        <v>0</v>
      </c>
      <c r="O50" s="1">
        <v>30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Y50" s="1">
        <v>0</v>
      </c>
      <c r="Z50" s="1">
        <v>1136.4000000000001</v>
      </c>
    </row>
    <row r="51" spans="1:26" s="1" customFormat="1" x14ac:dyDescent="0.25">
      <c r="H51" s="1" t="s">
        <v>3566</v>
      </c>
    </row>
    <row r="52" spans="1:26" s="1" customFormat="1" x14ac:dyDescent="0.25">
      <c r="A52" s="1">
        <v>23</v>
      </c>
      <c r="B52" s="1" t="s">
        <v>71</v>
      </c>
      <c r="C52" s="1">
        <v>2074</v>
      </c>
      <c r="D52" s="1" t="s">
        <v>72</v>
      </c>
      <c r="E52" s="1" t="s">
        <v>50</v>
      </c>
      <c r="F52" s="1" t="s">
        <v>73</v>
      </c>
      <c r="G52" s="1" t="s">
        <v>74</v>
      </c>
      <c r="H52" s="1" t="str">
        <f>"201511007805"</f>
        <v>201511007805</v>
      </c>
      <c r="I52" s="1">
        <v>906.4</v>
      </c>
      <c r="J52" s="1">
        <v>0</v>
      </c>
      <c r="K52" s="1">
        <v>0</v>
      </c>
      <c r="L52" s="1">
        <v>0</v>
      </c>
      <c r="M52" s="1">
        <v>200</v>
      </c>
      <c r="N52" s="1">
        <v>0</v>
      </c>
      <c r="O52" s="1">
        <v>30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Y52" s="1">
        <v>0</v>
      </c>
      <c r="Z52" s="1">
        <v>1136.4000000000001</v>
      </c>
    </row>
    <row r="53" spans="1:26" s="1" customFormat="1" x14ac:dyDescent="0.25">
      <c r="H53" s="1" t="s">
        <v>75</v>
      </c>
    </row>
    <row r="54" spans="1:26" s="1" customFormat="1" x14ac:dyDescent="0.25">
      <c r="A54" s="1">
        <v>24</v>
      </c>
      <c r="C54" s="1">
        <v>14500</v>
      </c>
      <c r="D54" s="1" t="s">
        <v>77</v>
      </c>
      <c r="E54" s="1" t="s">
        <v>78</v>
      </c>
      <c r="F54" s="1" t="s">
        <v>79</v>
      </c>
      <c r="G54" s="1" t="s">
        <v>80</v>
      </c>
      <c r="H54" s="1" t="str">
        <f>"201510000175"</f>
        <v>201510000175</v>
      </c>
      <c r="I54" s="1">
        <v>862.4</v>
      </c>
      <c r="J54" s="1">
        <v>0</v>
      </c>
      <c r="K54" s="1">
        <v>0</v>
      </c>
      <c r="L54" s="1">
        <v>0</v>
      </c>
      <c r="M54" s="1">
        <v>200</v>
      </c>
      <c r="N54" s="1">
        <v>0</v>
      </c>
      <c r="O54" s="1">
        <v>70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Y54" s="1">
        <v>0</v>
      </c>
      <c r="Z54" s="1">
        <v>1132.4000000000001</v>
      </c>
    </row>
    <row r="55" spans="1:26" s="1" customFormat="1" x14ac:dyDescent="0.25">
      <c r="H55" s="1" t="s">
        <v>81</v>
      </c>
    </row>
    <row r="56" spans="1:26" s="1" customFormat="1" x14ac:dyDescent="0.25">
      <c r="A56" s="1">
        <v>25</v>
      </c>
      <c r="C56" s="1">
        <v>36</v>
      </c>
      <c r="D56" s="1" t="s">
        <v>3567</v>
      </c>
      <c r="E56" s="1" t="s">
        <v>365</v>
      </c>
      <c r="F56" s="1" t="s">
        <v>2661</v>
      </c>
      <c r="G56" s="1" t="s">
        <v>3568</v>
      </c>
      <c r="H56" s="1" t="str">
        <f>"201402010196"</f>
        <v>201402010196</v>
      </c>
      <c r="I56" s="1">
        <v>900.9</v>
      </c>
      <c r="J56" s="1">
        <v>0</v>
      </c>
      <c r="K56" s="1">
        <v>0</v>
      </c>
      <c r="L56" s="1">
        <v>0</v>
      </c>
      <c r="M56" s="1">
        <v>200</v>
      </c>
      <c r="N56" s="1">
        <v>0</v>
      </c>
      <c r="O56" s="1">
        <v>30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Y56" s="1">
        <v>0</v>
      </c>
      <c r="Z56" s="1">
        <v>1130.9000000000001</v>
      </c>
    </row>
    <row r="57" spans="1:26" s="1" customFormat="1" x14ac:dyDescent="0.25">
      <c r="H57" s="1" t="s">
        <v>3569</v>
      </c>
    </row>
    <row r="58" spans="1:26" s="1" customFormat="1" x14ac:dyDescent="0.25">
      <c r="A58" s="1">
        <v>26</v>
      </c>
      <c r="C58" s="1">
        <v>14730</v>
      </c>
      <c r="D58" s="1" t="s">
        <v>83</v>
      </c>
      <c r="E58" s="1" t="s">
        <v>78</v>
      </c>
      <c r="F58" s="1" t="s">
        <v>84</v>
      </c>
      <c r="G58" s="1" t="s">
        <v>85</v>
      </c>
      <c r="H58" s="1" t="str">
        <f>"00034046"</f>
        <v>00034046</v>
      </c>
      <c r="I58" s="1">
        <v>894.3</v>
      </c>
      <c r="J58" s="1">
        <v>0</v>
      </c>
      <c r="K58" s="1">
        <v>0</v>
      </c>
      <c r="L58" s="1">
        <v>0</v>
      </c>
      <c r="M58" s="1">
        <v>200</v>
      </c>
      <c r="N58" s="1">
        <v>0</v>
      </c>
      <c r="O58" s="1">
        <v>30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Y58" s="1">
        <v>0</v>
      </c>
      <c r="Z58" s="1">
        <v>1124.3</v>
      </c>
    </row>
    <row r="59" spans="1:26" s="1" customFormat="1" x14ac:dyDescent="0.25">
      <c r="H59" s="1" t="s">
        <v>86</v>
      </c>
    </row>
    <row r="60" spans="1:26" x14ac:dyDescent="0.25">
      <c r="A60">
        <v>27</v>
      </c>
      <c r="B60" t="s">
        <v>87</v>
      </c>
      <c r="C60">
        <v>15627</v>
      </c>
      <c r="D60" t="s">
        <v>88</v>
      </c>
      <c r="E60" t="s">
        <v>89</v>
      </c>
      <c r="F60" t="s">
        <v>90</v>
      </c>
      <c r="G60" t="s">
        <v>91</v>
      </c>
      <c r="H60" t="str">
        <f>"201102000418"</f>
        <v>201102000418</v>
      </c>
      <c r="I60">
        <v>853.6</v>
      </c>
      <c r="J60">
        <v>0</v>
      </c>
      <c r="K60">
        <v>0</v>
      </c>
      <c r="L60">
        <v>0</v>
      </c>
      <c r="M60">
        <v>200</v>
      </c>
      <c r="N60">
        <v>0</v>
      </c>
      <c r="O60">
        <v>70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Y60">
        <v>0</v>
      </c>
      <c r="Z60">
        <v>1123.5999999999999</v>
      </c>
    </row>
    <row r="61" spans="1:26" x14ac:dyDescent="0.25">
      <c r="H61" t="s">
        <v>92</v>
      </c>
    </row>
    <row r="62" spans="1:26" x14ac:dyDescent="0.25">
      <c r="A62">
        <v>28</v>
      </c>
      <c r="C62">
        <v>13511</v>
      </c>
      <c r="D62" t="s">
        <v>93</v>
      </c>
      <c r="E62" t="s">
        <v>94</v>
      </c>
      <c r="F62" t="s">
        <v>79</v>
      </c>
      <c r="G62" t="s">
        <v>95</v>
      </c>
      <c r="H62" t="str">
        <f>"201511035484"</f>
        <v>201511035484</v>
      </c>
      <c r="I62">
        <v>893.2</v>
      </c>
      <c r="J62">
        <v>0</v>
      </c>
      <c r="K62">
        <v>0</v>
      </c>
      <c r="L62">
        <v>0</v>
      </c>
      <c r="M62">
        <v>200</v>
      </c>
      <c r="N62">
        <v>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Y62">
        <v>0</v>
      </c>
      <c r="Z62">
        <v>1123.2</v>
      </c>
    </row>
    <row r="63" spans="1:26" x14ac:dyDescent="0.25">
      <c r="H63" t="s">
        <v>96</v>
      </c>
    </row>
    <row r="64" spans="1:26" x14ac:dyDescent="0.25">
      <c r="A64">
        <v>29</v>
      </c>
      <c r="C64">
        <v>9748</v>
      </c>
      <c r="D64" t="s">
        <v>97</v>
      </c>
      <c r="E64" t="s">
        <v>98</v>
      </c>
      <c r="F64" t="s">
        <v>99</v>
      </c>
      <c r="G64" t="s">
        <v>100</v>
      </c>
      <c r="H64" t="str">
        <f>"201511009589"</f>
        <v>201511009589</v>
      </c>
      <c r="I64">
        <v>892.1</v>
      </c>
      <c r="J64">
        <v>0</v>
      </c>
      <c r="K64">
        <v>0</v>
      </c>
      <c r="L64">
        <v>0</v>
      </c>
      <c r="M64">
        <v>200</v>
      </c>
      <c r="N64">
        <v>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Y64">
        <v>0</v>
      </c>
      <c r="Z64">
        <v>1122.0999999999999</v>
      </c>
    </row>
    <row r="65" spans="1:26" x14ac:dyDescent="0.25">
      <c r="H65" t="s">
        <v>101</v>
      </c>
    </row>
    <row r="66" spans="1:26" x14ac:dyDescent="0.25">
      <c r="A66">
        <v>30</v>
      </c>
      <c r="B66" t="s">
        <v>76</v>
      </c>
      <c r="C66">
        <v>1515</v>
      </c>
      <c r="D66" t="s">
        <v>102</v>
      </c>
      <c r="E66" t="s">
        <v>89</v>
      </c>
      <c r="F66" t="s">
        <v>103</v>
      </c>
      <c r="G66" t="s">
        <v>104</v>
      </c>
      <c r="H66" t="str">
        <f>"00725792"</f>
        <v>00725792</v>
      </c>
      <c r="I66">
        <v>889.9</v>
      </c>
      <c r="J66">
        <v>0</v>
      </c>
      <c r="K66">
        <v>0</v>
      </c>
      <c r="L66">
        <v>0</v>
      </c>
      <c r="M66">
        <v>200</v>
      </c>
      <c r="N66">
        <v>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Y66">
        <v>0</v>
      </c>
      <c r="Z66">
        <v>1119.9000000000001</v>
      </c>
    </row>
    <row r="67" spans="1:26" x14ac:dyDescent="0.25">
      <c r="H67" t="s">
        <v>105</v>
      </c>
    </row>
    <row r="68" spans="1:26" x14ac:dyDescent="0.25">
      <c r="A68">
        <v>31</v>
      </c>
      <c r="C68">
        <v>7829</v>
      </c>
      <c r="D68" t="s">
        <v>106</v>
      </c>
      <c r="E68" t="s">
        <v>107</v>
      </c>
      <c r="F68" t="s">
        <v>108</v>
      </c>
      <c r="G68" t="s">
        <v>109</v>
      </c>
      <c r="H68" t="str">
        <f>"201511022300"</f>
        <v>201511022300</v>
      </c>
      <c r="I68">
        <v>885.5</v>
      </c>
      <c r="J68">
        <v>0</v>
      </c>
      <c r="K68">
        <v>0</v>
      </c>
      <c r="L68">
        <v>0</v>
      </c>
      <c r="M68">
        <v>200</v>
      </c>
      <c r="N68">
        <v>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Y68">
        <v>0</v>
      </c>
      <c r="Z68">
        <v>1115.5</v>
      </c>
    </row>
    <row r="69" spans="1:26" x14ac:dyDescent="0.25">
      <c r="H69" t="s">
        <v>110</v>
      </c>
    </row>
    <row r="70" spans="1:26" x14ac:dyDescent="0.25">
      <c r="A70">
        <v>32</v>
      </c>
      <c r="C70">
        <v>14598</v>
      </c>
      <c r="D70" t="s">
        <v>111</v>
      </c>
      <c r="E70" t="s">
        <v>112</v>
      </c>
      <c r="F70" t="s">
        <v>113</v>
      </c>
      <c r="G70" t="s">
        <v>114</v>
      </c>
      <c r="H70" t="str">
        <f>"201511031492"</f>
        <v>201511031492</v>
      </c>
      <c r="I70">
        <v>885.5</v>
      </c>
      <c r="J70">
        <v>0</v>
      </c>
      <c r="K70">
        <v>0</v>
      </c>
      <c r="L70">
        <v>0</v>
      </c>
      <c r="M70">
        <v>200</v>
      </c>
      <c r="N70">
        <v>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Y70">
        <v>0</v>
      </c>
      <c r="Z70">
        <v>1115.5</v>
      </c>
    </row>
    <row r="71" spans="1:26" x14ac:dyDescent="0.25">
      <c r="H71" t="s">
        <v>115</v>
      </c>
    </row>
    <row r="72" spans="1:26" x14ac:dyDescent="0.25">
      <c r="A72">
        <v>33</v>
      </c>
      <c r="C72">
        <v>9326</v>
      </c>
      <c r="D72" t="s">
        <v>116</v>
      </c>
      <c r="E72" t="s">
        <v>117</v>
      </c>
      <c r="F72" t="s">
        <v>118</v>
      </c>
      <c r="G72" t="s">
        <v>119</v>
      </c>
      <c r="H72" t="str">
        <f>"201511023222"</f>
        <v>201511023222</v>
      </c>
      <c r="I72">
        <v>881.1</v>
      </c>
      <c r="J72">
        <v>0</v>
      </c>
      <c r="K72">
        <v>0</v>
      </c>
      <c r="L72">
        <v>0</v>
      </c>
      <c r="M72">
        <v>200</v>
      </c>
      <c r="N72">
        <v>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Y72">
        <v>0</v>
      </c>
      <c r="Z72">
        <v>1111.0999999999999</v>
      </c>
    </row>
    <row r="73" spans="1:26" x14ac:dyDescent="0.25">
      <c r="H73" t="s">
        <v>120</v>
      </c>
    </row>
    <row r="74" spans="1:26" x14ac:dyDescent="0.25">
      <c r="A74">
        <v>34</v>
      </c>
      <c r="C74">
        <v>9457</v>
      </c>
      <c r="D74" t="s">
        <v>121</v>
      </c>
      <c r="E74" t="s">
        <v>98</v>
      </c>
      <c r="F74" t="s">
        <v>122</v>
      </c>
      <c r="G74" t="s">
        <v>123</v>
      </c>
      <c r="H74" t="str">
        <f>"201511027821"</f>
        <v>201511027821</v>
      </c>
      <c r="I74">
        <v>809.6</v>
      </c>
      <c r="J74">
        <v>0</v>
      </c>
      <c r="K74">
        <v>0</v>
      </c>
      <c r="L74">
        <v>0</v>
      </c>
      <c r="M74">
        <v>200</v>
      </c>
      <c r="N74">
        <v>0</v>
      </c>
      <c r="O74">
        <v>70</v>
      </c>
      <c r="P74">
        <v>0</v>
      </c>
      <c r="Q74">
        <v>30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Y74">
        <v>0</v>
      </c>
      <c r="Z74">
        <v>1109.5999999999999</v>
      </c>
    </row>
    <row r="75" spans="1:26" x14ac:dyDescent="0.25">
      <c r="H75" t="s">
        <v>124</v>
      </c>
    </row>
    <row r="76" spans="1:26" x14ac:dyDescent="0.25">
      <c r="A76">
        <v>35</v>
      </c>
      <c r="B76" t="s">
        <v>65</v>
      </c>
      <c r="C76">
        <v>16684</v>
      </c>
      <c r="D76" t="s">
        <v>125</v>
      </c>
      <c r="E76" t="s">
        <v>126</v>
      </c>
      <c r="F76" t="s">
        <v>127</v>
      </c>
      <c r="G76" t="s">
        <v>128</v>
      </c>
      <c r="H76" t="str">
        <f>"201512002036"</f>
        <v>201512002036</v>
      </c>
      <c r="I76">
        <v>837.1</v>
      </c>
      <c r="J76">
        <v>0</v>
      </c>
      <c r="K76">
        <v>0</v>
      </c>
      <c r="L76">
        <v>0</v>
      </c>
      <c r="M76">
        <v>200</v>
      </c>
      <c r="N76">
        <v>0</v>
      </c>
      <c r="O76">
        <v>70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Y76">
        <v>0</v>
      </c>
      <c r="Z76">
        <v>1107.0999999999999</v>
      </c>
    </row>
    <row r="77" spans="1:26" x14ac:dyDescent="0.25">
      <c r="H77" t="s">
        <v>129</v>
      </c>
    </row>
    <row r="78" spans="1:26" x14ac:dyDescent="0.25">
      <c r="A78">
        <v>36</v>
      </c>
      <c r="B78" t="s">
        <v>130</v>
      </c>
      <c r="C78">
        <v>1074</v>
      </c>
      <c r="D78" t="s">
        <v>131</v>
      </c>
      <c r="E78" t="s">
        <v>132</v>
      </c>
      <c r="F78" t="s">
        <v>133</v>
      </c>
      <c r="G78" t="s">
        <v>134</v>
      </c>
      <c r="H78" t="str">
        <f>"201511032507"</f>
        <v>201511032507</v>
      </c>
      <c r="I78">
        <v>856.9</v>
      </c>
      <c r="J78">
        <v>0</v>
      </c>
      <c r="K78">
        <v>0</v>
      </c>
      <c r="L78">
        <v>0</v>
      </c>
      <c r="M78">
        <v>200</v>
      </c>
      <c r="N78">
        <v>0</v>
      </c>
      <c r="O78">
        <v>50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Y78">
        <v>0</v>
      </c>
      <c r="Z78">
        <v>1106.9000000000001</v>
      </c>
    </row>
    <row r="79" spans="1:26" x14ac:dyDescent="0.25">
      <c r="H79" t="s">
        <v>135</v>
      </c>
    </row>
    <row r="80" spans="1:26" x14ac:dyDescent="0.25">
      <c r="A80">
        <v>37</v>
      </c>
      <c r="B80" t="s">
        <v>136</v>
      </c>
      <c r="C80">
        <v>3801</v>
      </c>
      <c r="D80" t="s">
        <v>137</v>
      </c>
      <c r="E80" t="s">
        <v>112</v>
      </c>
      <c r="F80" t="s">
        <v>138</v>
      </c>
      <c r="G80" t="s">
        <v>139</v>
      </c>
      <c r="H80" t="str">
        <f>"201511010534"</f>
        <v>201511010534</v>
      </c>
      <c r="I80">
        <v>876.7</v>
      </c>
      <c r="J80">
        <v>0</v>
      </c>
      <c r="K80">
        <v>0</v>
      </c>
      <c r="L80">
        <v>0</v>
      </c>
      <c r="M80">
        <v>200</v>
      </c>
      <c r="N80">
        <v>0</v>
      </c>
      <c r="O80">
        <v>30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Y80">
        <v>0</v>
      </c>
      <c r="Z80">
        <v>1106.7</v>
      </c>
    </row>
    <row r="81" spans="1:26" x14ac:dyDescent="0.25">
      <c r="H81" t="s">
        <v>140</v>
      </c>
    </row>
    <row r="82" spans="1:26" x14ac:dyDescent="0.25">
      <c r="A82">
        <v>38</v>
      </c>
      <c r="B82" t="s">
        <v>141</v>
      </c>
      <c r="C82">
        <v>10806</v>
      </c>
      <c r="D82" t="s">
        <v>142</v>
      </c>
      <c r="E82" t="s">
        <v>143</v>
      </c>
      <c r="F82" t="s">
        <v>144</v>
      </c>
      <c r="G82" t="s">
        <v>145</v>
      </c>
      <c r="H82" t="str">
        <f>"201510002657"</f>
        <v>201510002657</v>
      </c>
      <c r="I82">
        <v>873.4</v>
      </c>
      <c r="J82">
        <v>0</v>
      </c>
      <c r="K82">
        <v>0</v>
      </c>
      <c r="L82">
        <v>0</v>
      </c>
      <c r="M82">
        <v>200</v>
      </c>
      <c r="N82">
        <v>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Y82">
        <v>0</v>
      </c>
      <c r="Z82">
        <v>1103.4000000000001</v>
      </c>
    </row>
    <row r="83" spans="1:26" x14ac:dyDescent="0.25">
      <c r="H83" t="s">
        <v>146</v>
      </c>
    </row>
    <row r="84" spans="1:26" x14ac:dyDescent="0.25">
      <c r="A84">
        <v>39</v>
      </c>
      <c r="C84">
        <v>9653</v>
      </c>
      <c r="D84" t="s">
        <v>147</v>
      </c>
      <c r="E84" t="s">
        <v>112</v>
      </c>
      <c r="F84" t="s">
        <v>148</v>
      </c>
      <c r="G84" t="s">
        <v>149</v>
      </c>
      <c r="H84" t="str">
        <f>"00085726"</f>
        <v>00085726</v>
      </c>
      <c r="I84">
        <v>830.5</v>
      </c>
      <c r="J84">
        <v>0</v>
      </c>
      <c r="K84">
        <v>0</v>
      </c>
      <c r="L84">
        <v>0</v>
      </c>
      <c r="M84">
        <v>200</v>
      </c>
      <c r="N84">
        <v>0</v>
      </c>
      <c r="O84">
        <v>70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Y84">
        <v>0</v>
      </c>
      <c r="Z84">
        <v>1100.5</v>
      </c>
    </row>
    <row r="85" spans="1:26" x14ac:dyDescent="0.25">
      <c r="H85" t="s">
        <v>150</v>
      </c>
    </row>
    <row r="86" spans="1:26" x14ac:dyDescent="0.25">
      <c r="A86">
        <v>40</v>
      </c>
      <c r="C86">
        <v>10074</v>
      </c>
      <c r="D86" t="s">
        <v>151</v>
      </c>
      <c r="E86" t="s">
        <v>152</v>
      </c>
      <c r="F86" t="s">
        <v>90</v>
      </c>
      <c r="G86" t="s">
        <v>153</v>
      </c>
      <c r="H86" t="str">
        <f>"201511019116"</f>
        <v>201511019116</v>
      </c>
      <c r="I86">
        <v>870.1</v>
      </c>
      <c r="J86">
        <v>0</v>
      </c>
      <c r="K86">
        <v>0</v>
      </c>
      <c r="L86">
        <v>0</v>
      </c>
      <c r="M86">
        <v>200</v>
      </c>
      <c r="N86">
        <v>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Y86">
        <v>0</v>
      </c>
      <c r="Z86">
        <v>1100.0999999999999</v>
      </c>
    </row>
    <row r="87" spans="1:26" x14ac:dyDescent="0.25">
      <c r="H87" t="s">
        <v>154</v>
      </c>
    </row>
    <row r="88" spans="1:26" x14ac:dyDescent="0.25">
      <c r="A88">
        <v>41</v>
      </c>
      <c r="C88">
        <v>3731</v>
      </c>
      <c r="D88" t="s">
        <v>155</v>
      </c>
      <c r="E88" t="s">
        <v>132</v>
      </c>
      <c r="F88" t="s">
        <v>156</v>
      </c>
      <c r="G88" t="s">
        <v>157</v>
      </c>
      <c r="H88" t="str">
        <f>"201511043350"</f>
        <v>201511043350</v>
      </c>
      <c r="I88">
        <v>870.1</v>
      </c>
      <c r="J88">
        <v>0</v>
      </c>
      <c r="K88">
        <v>0</v>
      </c>
      <c r="L88">
        <v>0</v>
      </c>
      <c r="M88">
        <v>200</v>
      </c>
      <c r="N88">
        <v>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Y88">
        <v>0</v>
      </c>
      <c r="Z88">
        <v>1100.0999999999999</v>
      </c>
    </row>
    <row r="89" spans="1:26" x14ac:dyDescent="0.25">
      <c r="H89" t="s">
        <v>158</v>
      </c>
    </row>
    <row r="90" spans="1:26" x14ac:dyDescent="0.25">
      <c r="A90">
        <v>42</v>
      </c>
      <c r="B90" t="s">
        <v>159</v>
      </c>
      <c r="C90">
        <v>17007</v>
      </c>
      <c r="D90" t="s">
        <v>160</v>
      </c>
      <c r="E90" t="s">
        <v>39</v>
      </c>
      <c r="F90" t="s">
        <v>45</v>
      </c>
      <c r="G90" t="s">
        <v>161</v>
      </c>
      <c r="H90" t="str">
        <f>"201102000045"</f>
        <v>201102000045</v>
      </c>
      <c r="I90">
        <v>897.6</v>
      </c>
      <c r="J90">
        <v>0</v>
      </c>
      <c r="K90">
        <v>0</v>
      </c>
      <c r="L90">
        <v>0</v>
      </c>
      <c r="M90">
        <v>200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Y90">
        <v>0</v>
      </c>
      <c r="Z90">
        <v>1097.5999999999999</v>
      </c>
    </row>
    <row r="91" spans="1:26" x14ac:dyDescent="0.25">
      <c r="H91" t="s">
        <v>162</v>
      </c>
    </row>
    <row r="92" spans="1:26" x14ac:dyDescent="0.25">
      <c r="A92">
        <v>43</v>
      </c>
      <c r="B92" t="s">
        <v>48</v>
      </c>
      <c r="C92">
        <v>9999</v>
      </c>
      <c r="D92" t="s">
        <v>163</v>
      </c>
      <c r="E92" t="s">
        <v>164</v>
      </c>
      <c r="F92" t="s">
        <v>165</v>
      </c>
      <c r="G92" t="s">
        <v>166</v>
      </c>
      <c r="H92" t="str">
        <f>"201511005893"</f>
        <v>201511005893</v>
      </c>
      <c r="I92">
        <v>917.4</v>
      </c>
      <c r="J92">
        <v>150</v>
      </c>
      <c r="K92">
        <v>0</v>
      </c>
      <c r="L92">
        <v>0</v>
      </c>
      <c r="M92">
        <v>0</v>
      </c>
      <c r="N92">
        <v>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Y92">
        <v>2</v>
      </c>
      <c r="Z92">
        <v>1097.4000000000001</v>
      </c>
    </row>
    <row r="93" spans="1:26" x14ac:dyDescent="0.25">
      <c r="H93" t="s">
        <v>167</v>
      </c>
    </row>
    <row r="94" spans="1:26" x14ac:dyDescent="0.25">
      <c r="A94">
        <v>44</v>
      </c>
      <c r="B94" t="s">
        <v>168</v>
      </c>
      <c r="C94">
        <v>13755</v>
      </c>
      <c r="D94" t="s">
        <v>169</v>
      </c>
      <c r="E94" t="s">
        <v>170</v>
      </c>
      <c r="F94" t="s">
        <v>73</v>
      </c>
      <c r="G94" t="s">
        <v>171</v>
      </c>
      <c r="H94" t="str">
        <f>"201510002632"</f>
        <v>201510002632</v>
      </c>
      <c r="I94">
        <v>863.5</v>
      </c>
      <c r="J94">
        <v>0</v>
      </c>
      <c r="K94">
        <v>0</v>
      </c>
      <c r="L94">
        <v>0</v>
      </c>
      <c r="M94">
        <v>200</v>
      </c>
      <c r="N94">
        <v>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Y94">
        <v>1</v>
      </c>
      <c r="Z94">
        <v>1093.5</v>
      </c>
    </row>
    <row r="95" spans="1:26" x14ac:dyDescent="0.25">
      <c r="H95" t="s">
        <v>172</v>
      </c>
    </row>
    <row r="96" spans="1:26" x14ac:dyDescent="0.25">
      <c r="A96">
        <v>45</v>
      </c>
      <c r="C96">
        <v>380</v>
      </c>
      <c r="D96" t="s">
        <v>173</v>
      </c>
      <c r="E96" t="s">
        <v>174</v>
      </c>
      <c r="F96" t="s">
        <v>84</v>
      </c>
      <c r="G96" t="s">
        <v>175</v>
      </c>
      <c r="H96" t="str">
        <f>"00026563"</f>
        <v>00026563</v>
      </c>
      <c r="I96">
        <v>821.7</v>
      </c>
      <c r="J96">
        <v>0</v>
      </c>
      <c r="K96">
        <v>0</v>
      </c>
      <c r="L96">
        <v>0</v>
      </c>
      <c r="M96">
        <v>200</v>
      </c>
      <c r="N96">
        <v>0</v>
      </c>
      <c r="O96">
        <v>70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Y96">
        <v>0</v>
      </c>
      <c r="Z96">
        <v>1091.7</v>
      </c>
    </row>
    <row r="97" spans="1:26" x14ac:dyDescent="0.25">
      <c r="H97" t="s">
        <v>176</v>
      </c>
    </row>
    <row r="98" spans="1:26" x14ac:dyDescent="0.25">
      <c r="A98">
        <v>46</v>
      </c>
      <c r="C98">
        <v>15391</v>
      </c>
      <c r="D98" t="s">
        <v>177</v>
      </c>
      <c r="E98" t="s">
        <v>178</v>
      </c>
      <c r="F98" t="s">
        <v>39</v>
      </c>
      <c r="G98" t="s">
        <v>179</v>
      </c>
      <c r="H98" t="str">
        <f>"201511034855"</f>
        <v>201511034855</v>
      </c>
      <c r="I98">
        <v>829.4</v>
      </c>
      <c r="J98">
        <v>0</v>
      </c>
      <c r="K98">
        <v>0</v>
      </c>
      <c r="L98">
        <v>0</v>
      </c>
      <c r="M98">
        <v>200</v>
      </c>
      <c r="N98">
        <v>0</v>
      </c>
      <c r="O98">
        <v>30</v>
      </c>
      <c r="P98">
        <v>30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Y98">
        <v>0</v>
      </c>
      <c r="Z98">
        <v>1089.4000000000001</v>
      </c>
    </row>
    <row r="99" spans="1:26" x14ac:dyDescent="0.25">
      <c r="H99" t="s">
        <v>180</v>
      </c>
    </row>
    <row r="100" spans="1:26" x14ac:dyDescent="0.25">
      <c r="A100">
        <v>47</v>
      </c>
      <c r="C100">
        <v>11272</v>
      </c>
      <c r="D100" t="s">
        <v>181</v>
      </c>
      <c r="E100" t="s">
        <v>182</v>
      </c>
      <c r="F100" t="s">
        <v>183</v>
      </c>
      <c r="G100" t="s">
        <v>184</v>
      </c>
      <c r="H100" t="str">
        <f>"201511030055"</f>
        <v>201511030055</v>
      </c>
      <c r="I100">
        <v>858</v>
      </c>
      <c r="J100">
        <v>0</v>
      </c>
      <c r="K100">
        <v>0</v>
      </c>
      <c r="L100">
        <v>0</v>
      </c>
      <c r="M100">
        <v>200</v>
      </c>
      <c r="N100">
        <v>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Y100">
        <v>0</v>
      </c>
      <c r="Z100">
        <v>1088</v>
      </c>
    </row>
    <row r="101" spans="1:26" x14ac:dyDescent="0.25">
      <c r="H101" t="s">
        <v>185</v>
      </c>
    </row>
    <row r="102" spans="1:26" x14ac:dyDescent="0.25">
      <c r="A102">
        <v>48</v>
      </c>
      <c r="B102" t="s">
        <v>186</v>
      </c>
      <c r="C102">
        <v>1487</v>
      </c>
      <c r="D102" t="s">
        <v>187</v>
      </c>
      <c r="E102" t="s">
        <v>188</v>
      </c>
      <c r="F102" t="s">
        <v>189</v>
      </c>
      <c r="G102" t="s">
        <v>190</v>
      </c>
      <c r="H102" t="str">
        <f>"00636875"</f>
        <v>00636875</v>
      </c>
      <c r="I102">
        <v>886.6</v>
      </c>
      <c r="J102">
        <v>0</v>
      </c>
      <c r="K102">
        <v>0</v>
      </c>
      <c r="L102">
        <v>0</v>
      </c>
      <c r="M102">
        <v>200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Y102">
        <v>0</v>
      </c>
      <c r="Z102">
        <v>1086.5999999999999</v>
      </c>
    </row>
    <row r="103" spans="1:26" x14ac:dyDescent="0.25">
      <c r="H103" t="s">
        <v>191</v>
      </c>
    </row>
    <row r="104" spans="1:26" x14ac:dyDescent="0.25">
      <c r="A104">
        <v>49</v>
      </c>
      <c r="C104">
        <v>13861</v>
      </c>
      <c r="D104" t="s">
        <v>192</v>
      </c>
      <c r="E104" t="s">
        <v>193</v>
      </c>
      <c r="F104" t="s">
        <v>194</v>
      </c>
      <c r="G104" t="s">
        <v>195</v>
      </c>
      <c r="H104" t="str">
        <f>"00149486"</f>
        <v>00149486</v>
      </c>
      <c r="I104">
        <v>1015.3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70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Y104">
        <v>0</v>
      </c>
      <c r="Z104">
        <v>1085.3</v>
      </c>
    </row>
    <row r="105" spans="1:26" x14ac:dyDescent="0.25">
      <c r="H105" t="s">
        <v>196</v>
      </c>
    </row>
    <row r="106" spans="1:26" x14ac:dyDescent="0.25">
      <c r="A106">
        <v>50</v>
      </c>
      <c r="C106">
        <v>7629</v>
      </c>
      <c r="D106" t="s">
        <v>197</v>
      </c>
      <c r="E106" t="s">
        <v>198</v>
      </c>
      <c r="F106" t="s">
        <v>199</v>
      </c>
      <c r="G106" t="s">
        <v>200</v>
      </c>
      <c r="H106" t="str">
        <f>"201511042899"</f>
        <v>201511042899</v>
      </c>
      <c r="I106">
        <v>854.7</v>
      </c>
      <c r="J106">
        <v>0</v>
      </c>
      <c r="K106">
        <v>0</v>
      </c>
      <c r="L106">
        <v>0</v>
      </c>
      <c r="M106">
        <v>200</v>
      </c>
      <c r="N106">
        <v>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Y106">
        <v>0</v>
      </c>
      <c r="Z106">
        <v>1084.7</v>
      </c>
    </row>
    <row r="107" spans="1:26" x14ac:dyDescent="0.25">
      <c r="H107" t="s">
        <v>201</v>
      </c>
    </row>
    <row r="108" spans="1:26" x14ac:dyDescent="0.25">
      <c r="A108">
        <v>51</v>
      </c>
      <c r="C108">
        <v>4880</v>
      </c>
      <c r="D108" t="s">
        <v>202</v>
      </c>
      <c r="E108" t="s">
        <v>203</v>
      </c>
      <c r="F108" t="s">
        <v>204</v>
      </c>
      <c r="G108" t="s">
        <v>205</v>
      </c>
      <c r="H108" t="str">
        <f>"201510005105"</f>
        <v>201510005105</v>
      </c>
      <c r="I108">
        <v>833.8</v>
      </c>
      <c r="J108">
        <v>0</v>
      </c>
      <c r="K108">
        <v>0</v>
      </c>
      <c r="L108">
        <v>0</v>
      </c>
      <c r="M108">
        <v>200</v>
      </c>
      <c r="N108">
        <v>0</v>
      </c>
      <c r="O108">
        <v>50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Y108">
        <v>0</v>
      </c>
      <c r="Z108">
        <v>1083.8</v>
      </c>
    </row>
    <row r="109" spans="1:26" x14ac:dyDescent="0.25">
      <c r="H109" t="s">
        <v>206</v>
      </c>
    </row>
    <row r="110" spans="1:26" x14ac:dyDescent="0.25">
      <c r="A110">
        <v>52</v>
      </c>
      <c r="C110">
        <v>10113</v>
      </c>
      <c r="D110" t="s">
        <v>207</v>
      </c>
      <c r="E110" t="s">
        <v>208</v>
      </c>
      <c r="F110" t="s">
        <v>73</v>
      </c>
      <c r="G110" t="s">
        <v>209</v>
      </c>
      <c r="H110" t="str">
        <f>"00228858"</f>
        <v>00228858</v>
      </c>
      <c r="I110">
        <v>1023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30</v>
      </c>
      <c r="P110">
        <v>0</v>
      </c>
      <c r="Q110">
        <v>0</v>
      </c>
      <c r="R110">
        <v>0</v>
      </c>
      <c r="S110">
        <v>30</v>
      </c>
      <c r="T110">
        <v>0</v>
      </c>
      <c r="U110">
        <v>0</v>
      </c>
      <c r="V110">
        <v>0</v>
      </c>
      <c r="W110">
        <v>0</v>
      </c>
      <c r="Y110">
        <v>0</v>
      </c>
      <c r="Z110">
        <v>1083</v>
      </c>
    </row>
    <row r="111" spans="1:26" x14ac:dyDescent="0.25">
      <c r="H111" t="s">
        <v>210</v>
      </c>
    </row>
    <row r="112" spans="1:26" x14ac:dyDescent="0.25">
      <c r="A112">
        <v>53</v>
      </c>
      <c r="C112">
        <v>6572</v>
      </c>
      <c r="D112" t="s">
        <v>211</v>
      </c>
      <c r="E112" t="s">
        <v>89</v>
      </c>
      <c r="F112" t="s">
        <v>126</v>
      </c>
      <c r="G112" t="s">
        <v>212</v>
      </c>
      <c r="H112" t="str">
        <f>"201511041587"</f>
        <v>201511041587</v>
      </c>
      <c r="I112">
        <v>861.3</v>
      </c>
      <c r="J112">
        <v>150</v>
      </c>
      <c r="K112">
        <v>0</v>
      </c>
      <c r="L112">
        <v>0</v>
      </c>
      <c r="M112">
        <v>0</v>
      </c>
      <c r="N112">
        <v>0</v>
      </c>
      <c r="O112">
        <v>70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Y112">
        <v>0</v>
      </c>
      <c r="Z112">
        <v>1081.3</v>
      </c>
    </row>
    <row r="113" spans="1:26" x14ac:dyDescent="0.25">
      <c r="H113" t="s">
        <v>213</v>
      </c>
    </row>
    <row r="114" spans="1:26" x14ac:dyDescent="0.25">
      <c r="A114">
        <v>54</v>
      </c>
      <c r="B114" t="s">
        <v>168</v>
      </c>
      <c r="C114">
        <v>10089</v>
      </c>
      <c r="D114" t="s">
        <v>214</v>
      </c>
      <c r="E114" t="s">
        <v>112</v>
      </c>
      <c r="F114" t="s">
        <v>127</v>
      </c>
      <c r="G114" t="s">
        <v>215</v>
      </c>
      <c r="H114" t="str">
        <f>"00666709"</f>
        <v>00666709</v>
      </c>
      <c r="I114">
        <v>1050.5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Y114">
        <v>1</v>
      </c>
      <c r="Z114">
        <v>1080.5</v>
      </c>
    </row>
    <row r="115" spans="1:26" x14ac:dyDescent="0.25">
      <c r="H115" t="s">
        <v>216</v>
      </c>
    </row>
    <row r="116" spans="1:26" x14ac:dyDescent="0.25">
      <c r="A116">
        <v>55</v>
      </c>
      <c r="C116">
        <v>1168</v>
      </c>
      <c r="D116" t="s">
        <v>217</v>
      </c>
      <c r="E116" t="s">
        <v>218</v>
      </c>
      <c r="F116" t="s">
        <v>16</v>
      </c>
      <c r="G116" t="s">
        <v>219</v>
      </c>
      <c r="H116" t="str">
        <f>"201511034780"</f>
        <v>201511034780</v>
      </c>
      <c r="I116">
        <v>850.3</v>
      </c>
      <c r="J116">
        <v>0</v>
      </c>
      <c r="K116">
        <v>0</v>
      </c>
      <c r="L116">
        <v>0</v>
      </c>
      <c r="M116">
        <v>200</v>
      </c>
      <c r="N116">
        <v>0</v>
      </c>
      <c r="O116">
        <v>30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Y116">
        <v>0</v>
      </c>
      <c r="Z116">
        <v>1080.3</v>
      </c>
    </row>
    <row r="117" spans="1:26" x14ac:dyDescent="0.25">
      <c r="H117" t="s">
        <v>220</v>
      </c>
    </row>
    <row r="118" spans="1:26" x14ac:dyDescent="0.25">
      <c r="A118">
        <v>56</v>
      </c>
      <c r="C118">
        <v>9626</v>
      </c>
      <c r="D118" t="s">
        <v>221</v>
      </c>
      <c r="E118" t="s">
        <v>112</v>
      </c>
      <c r="F118" t="s">
        <v>84</v>
      </c>
      <c r="G118" t="s">
        <v>222</v>
      </c>
      <c r="H118" t="str">
        <f>"201510003355"</f>
        <v>201510003355</v>
      </c>
      <c r="I118">
        <v>880</v>
      </c>
      <c r="J118">
        <v>0</v>
      </c>
      <c r="K118">
        <v>0</v>
      </c>
      <c r="L118">
        <v>0</v>
      </c>
      <c r="M118">
        <v>200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Y118">
        <v>0</v>
      </c>
      <c r="Z118">
        <v>1080</v>
      </c>
    </row>
    <row r="119" spans="1:26" x14ac:dyDescent="0.25">
      <c r="H119" t="s">
        <v>223</v>
      </c>
    </row>
    <row r="120" spans="1:26" x14ac:dyDescent="0.25">
      <c r="A120">
        <v>57</v>
      </c>
      <c r="C120">
        <v>7707</v>
      </c>
      <c r="D120" t="s">
        <v>224</v>
      </c>
      <c r="E120" t="s">
        <v>182</v>
      </c>
      <c r="F120" t="s">
        <v>79</v>
      </c>
      <c r="G120" t="s">
        <v>225</v>
      </c>
      <c r="H120" t="str">
        <f>"00056099"</f>
        <v>00056099</v>
      </c>
      <c r="I120">
        <v>899.8</v>
      </c>
      <c r="J120">
        <v>150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30</v>
      </c>
      <c r="S120">
        <v>0</v>
      </c>
      <c r="T120">
        <v>0</v>
      </c>
      <c r="U120">
        <v>0</v>
      </c>
      <c r="V120">
        <v>0</v>
      </c>
      <c r="W120">
        <v>0</v>
      </c>
      <c r="Y120">
        <v>0</v>
      </c>
      <c r="Z120">
        <v>1079.8</v>
      </c>
    </row>
    <row r="121" spans="1:26" x14ac:dyDescent="0.25">
      <c r="H121" t="s">
        <v>226</v>
      </c>
    </row>
    <row r="122" spans="1:26" x14ac:dyDescent="0.25">
      <c r="A122">
        <v>58</v>
      </c>
      <c r="B122" t="s">
        <v>82</v>
      </c>
      <c r="C122">
        <v>16298</v>
      </c>
      <c r="D122" t="s">
        <v>227</v>
      </c>
      <c r="E122" t="s">
        <v>98</v>
      </c>
      <c r="F122" t="s">
        <v>73</v>
      </c>
      <c r="G122" t="s">
        <v>228</v>
      </c>
      <c r="H122" t="str">
        <f>"00741999"</f>
        <v>00741999</v>
      </c>
      <c r="I122">
        <v>849.2</v>
      </c>
      <c r="J122">
        <v>0</v>
      </c>
      <c r="K122">
        <v>0</v>
      </c>
      <c r="L122">
        <v>0</v>
      </c>
      <c r="M122">
        <v>200</v>
      </c>
      <c r="N122">
        <v>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Y122">
        <v>0</v>
      </c>
      <c r="Z122">
        <v>1079.2</v>
      </c>
    </row>
    <row r="123" spans="1:26" x14ac:dyDescent="0.25">
      <c r="H123" t="s">
        <v>229</v>
      </c>
    </row>
    <row r="124" spans="1:26" x14ac:dyDescent="0.25">
      <c r="A124">
        <v>59</v>
      </c>
      <c r="C124">
        <v>8880</v>
      </c>
      <c r="D124" t="s">
        <v>230</v>
      </c>
      <c r="E124" t="s">
        <v>231</v>
      </c>
      <c r="F124" t="s">
        <v>16</v>
      </c>
      <c r="G124" t="s">
        <v>232</v>
      </c>
      <c r="H124" t="str">
        <f>"201511009781"</f>
        <v>201511009781</v>
      </c>
      <c r="I124">
        <v>844.8</v>
      </c>
      <c r="J124">
        <v>0</v>
      </c>
      <c r="K124">
        <v>0</v>
      </c>
      <c r="L124">
        <v>0</v>
      </c>
      <c r="M124">
        <v>200</v>
      </c>
      <c r="N124">
        <v>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Y124">
        <v>0</v>
      </c>
      <c r="Z124">
        <v>1074.8</v>
      </c>
    </row>
    <row r="125" spans="1:26" x14ac:dyDescent="0.25">
      <c r="H125" t="s">
        <v>233</v>
      </c>
    </row>
    <row r="126" spans="1:26" x14ac:dyDescent="0.25">
      <c r="A126">
        <v>60</v>
      </c>
      <c r="C126">
        <v>12919</v>
      </c>
      <c r="D126" t="s">
        <v>234</v>
      </c>
      <c r="E126" t="s">
        <v>235</v>
      </c>
      <c r="F126" t="s">
        <v>236</v>
      </c>
      <c r="G126" t="s">
        <v>237</v>
      </c>
      <c r="H126" t="str">
        <f>"201402002162"</f>
        <v>201402002162</v>
      </c>
      <c r="I126">
        <v>844.8</v>
      </c>
      <c r="J126">
        <v>0</v>
      </c>
      <c r="K126">
        <v>0</v>
      </c>
      <c r="L126">
        <v>0</v>
      </c>
      <c r="M126">
        <v>200</v>
      </c>
      <c r="N126">
        <v>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Y126">
        <v>0</v>
      </c>
      <c r="Z126">
        <v>1074.8</v>
      </c>
    </row>
    <row r="127" spans="1:26" x14ac:dyDescent="0.25">
      <c r="H127" t="s">
        <v>238</v>
      </c>
    </row>
    <row r="128" spans="1:26" x14ac:dyDescent="0.25">
      <c r="A128">
        <v>61</v>
      </c>
      <c r="C128">
        <v>8686</v>
      </c>
      <c r="D128" t="s">
        <v>239</v>
      </c>
      <c r="E128" t="s">
        <v>143</v>
      </c>
      <c r="F128" t="s">
        <v>240</v>
      </c>
      <c r="G128" t="s">
        <v>241</v>
      </c>
      <c r="H128" t="str">
        <f>"00020294"</f>
        <v>00020294</v>
      </c>
      <c r="I128">
        <v>842.6</v>
      </c>
      <c r="J128">
        <v>0</v>
      </c>
      <c r="K128">
        <v>0</v>
      </c>
      <c r="L128">
        <v>0</v>
      </c>
      <c r="M128">
        <v>200</v>
      </c>
      <c r="N128">
        <v>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Y128">
        <v>0</v>
      </c>
      <c r="Z128">
        <v>1072.5999999999999</v>
      </c>
    </row>
    <row r="129" spans="1:26" x14ac:dyDescent="0.25">
      <c r="H129" t="s">
        <v>242</v>
      </c>
    </row>
    <row r="130" spans="1:26" x14ac:dyDescent="0.25">
      <c r="A130">
        <v>62</v>
      </c>
      <c r="B130" t="s">
        <v>243</v>
      </c>
      <c r="C130">
        <v>5059</v>
      </c>
      <c r="D130" t="s">
        <v>244</v>
      </c>
      <c r="E130" t="s">
        <v>107</v>
      </c>
      <c r="F130" t="s">
        <v>73</v>
      </c>
      <c r="G130" t="s">
        <v>245</v>
      </c>
      <c r="H130" t="str">
        <f>"00022806"</f>
        <v>00022806</v>
      </c>
      <c r="I130">
        <v>841.5</v>
      </c>
      <c r="J130">
        <v>0</v>
      </c>
      <c r="K130">
        <v>0</v>
      </c>
      <c r="L130">
        <v>0</v>
      </c>
      <c r="M130">
        <v>200</v>
      </c>
      <c r="N130">
        <v>0</v>
      </c>
      <c r="O130">
        <v>30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Y130">
        <v>2</v>
      </c>
      <c r="Z130">
        <v>1071.5</v>
      </c>
    </row>
    <row r="131" spans="1:26" x14ac:dyDescent="0.25">
      <c r="H131" t="s">
        <v>246</v>
      </c>
    </row>
    <row r="132" spans="1:26" x14ac:dyDescent="0.25">
      <c r="A132">
        <v>63</v>
      </c>
      <c r="C132">
        <v>7103</v>
      </c>
      <c r="D132" t="s">
        <v>247</v>
      </c>
      <c r="E132" t="s">
        <v>248</v>
      </c>
      <c r="F132" t="s">
        <v>90</v>
      </c>
      <c r="G132" t="s">
        <v>249</v>
      </c>
      <c r="H132" t="str">
        <f>"00481032"</f>
        <v>00481032</v>
      </c>
      <c r="I132">
        <v>838.2</v>
      </c>
      <c r="J132">
        <v>0</v>
      </c>
      <c r="K132">
        <v>0</v>
      </c>
      <c r="L132">
        <v>0</v>
      </c>
      <c r="M132">
        <v>200</v>
      </c>
      <c r="N132">
        <v>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Y132">
        <v>0</v>
      </c>
      <c r="Z132">
        <v>1068.2</v>
      </c>
    </row>
    <row r="133" spans="1:26" x14ac:dyDescent="0.25">
      <c r="H133" t="s">
        <v>250</v>
      </c>
    </row>
    <row r="134" spans="1:26" x14ac:dyDescent="0.25">
      <c r="A134">
        <v>64</v>
      </c>
      <c r="C134">
        <v>14088</v>
      </c>
      <c r="D134" t="s">
        <v>251</v>
      </c>
      <c r="E134" t="s">
        <v>252</v>
      </c>
      <c r="F134" t="s">
        <v>78</v>
      </c>
      <c r="G134" t="s">
        <v>253</v>
      </c>
      <c r="H134" t="str">
        <f>"201102000342"</f>
        <v>201102000342</v>
      </c>
      <c r="I134">
        <v>797.5</v>
      </c>
      <c r="J134">
        <v>0</v>
      </c>
      <c r="K134">
        <v>0</v>
      </c>
      <c r="L134">
        <v>0</v>
      </c>
      <c r="M134">
        <v>200</v>
      </c>
      <c r="N134">
        <v>0</v>
      </c>
      <c r="O134">
        <v>70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Y134">
        <v>0</v>
      </c>
      <c r="Z134">
        <v>1067.5</v>
      </c>
    </row>
    <row r="135" spans="1:26" x14ac:dyDescent="0.25">
      <c r="H135" t="s">
        <v>254</v>
      </c>
    </row>
    <row r="136" spans="1:26" x14ac:dyDescent="0.25">
      <c r="A136">
        <v>65</v>
      </c>
      <c r="C136">
        <v>4758</v>
      </c>
      <c r="D136" t="s">
        <v>255</v>
      </c>
      <c r="E136" t="s">
        <v>256</v>
      </c>
      <c r="F136" t="s">
        <v>39</v>
      </c>
      <c r="G136" t="s">
        <v>257</v>
      </c>
      <c r="H136" t="str">
        <f>"201511010247"</f>
        <v>201511010247</v>
      </c>
      <c r="I136">
        <v>797.5</v>
      </c>
      <c r="J136">
        <v>0</v>
      </c>
      <c r="K136">
        <v>0</v>
      </c>
      <c r="L136">
        <v>0</v>
      </c>
      <c r="M136">
        <v>200</v>
      </c>
      <c r="N136">
        <v>0</v>
      </c>
      <c r="O136">
        <v>70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Y136">
        <v>0</v>
      </c>
      <c r="Z136">
        <v>1067.5</v>
      </c>
    </row>
    <row r="137" spans="1:26" x14ac:dyDescent="0.25">
      <c r="H137" t="s">
        <v>258</v>
      </c>
    </row>
    <row r="138" spans="1:26" x14ac:dyDescent="0.25">
      <c r="A138">
        <v>66</v>
      </c>
      <c r="C138">
        <v>23</v>
      </c>
      <c r="D138" t="s">
        <v>259</v>
      </c>
      <c r="E138" t="s">
        <v>260</v>
      </c>
      <c r="F138" t="s">
        <v>51</v>
      </c>
      <c r="G138" t="s">
        <v>261</v>
      </c>
      <c r="H138" t="str">
        <f>"201511036110"</f>
        <v>201511036110</v>
      </c>
      <c r="I138">
        <v>837.1</v>
      </c>
      <c r="J138">
        <v>0</v>
      </c>
      <c r="K138">
        <v>0</v>
      </c>
      <c r="L138">
        <v>0</v>
      </c>
      <c r="M138">
        <v>200</v>
      </c>
      <c r="N138">
        <v>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Y138">
        <v>0</v>
      </c>
      <c r="Z138">
        <v>1067.0999999999999</v>
      </c>
    </row>
    <row r="139" spans="1:26" x14ac:dyDescent="0.25">
      <c r="H139" t="s">
        <v>262</v>
      </c>
    </row>
    <row r="140" spans="1:26" x14ac:dyDescent="0.25">
      <c r="A140">
        <v>67</v>
      </c>
      <c r="B140" t="s">
        <v>54</v>
      </c>
      <c r="C140">
        <v>3744</v>
      </c>
      <c r="D140" t="s">
        <v>263</v>
      </c>
      <c r="E140" t="s">
        <v>264</v>
      </c>
      <c r="F140" t="s">
        <v>127</v>
      </c>
      <c r="G140" t="s">
        <v>265</v>
      </c>
      <c r="H140" t="str">
        <f>"201510004139"</f>
        <v>201510004139</v>
      </c>
      <c r="I140">
        <v>836</v>
      </c>
      <c r="J140">
        <v>0</v>
      </c>
      <c r="K140">
        <v>0</v>
      </c>
      <c r="L140">
        <v>0</v>
      </c>
      <c r="M140">
        <v>200</v>
      </c>
      <c r="N140">
        <v>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Y140">
        <v>0</v>
      </c>
      <c r="Z140">
        <v>1066</v>
      </c>
    </row>
    <row r="141" spans="1:26" x14ac:dyDescent="0.25">
      <c r="H141" t="s">
        <v>266</v>
      </c>
    </row>
    <row r="142" spans="1:26" x14ac:dyDescent="0.25">
      <c r="A142">
        <v>68</v>
      </c>
      <c r="C142">
        <v>6303</v>
      </c>
      <c r="D142" t="s">
        <v>267</v>
      </c>
      <c r="E142" t="s">
        <v>39</v>
      </c>
      <c r="F142" t="s">
        <v>268</v>
      </c>
      <c r="G142" t="s">
        <v>269</v>
      </c>
      <c r="H142" t="str">
        <f>"201511015668"</f>
        <v>201511015668</v>
      </c>
      <c r="I142">
        <v>836</v>
      </c>
      <c r="J142">
        <v>0</v>
      </c>
      <c r="K142">
        <v>0</v>
      </c>
      <c r="L142">
        <v>0</v>
      </c>
      <c r="M142">
        <v>200</v>
      </c>
      <c r="N142">
        <v>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Y142">
        <v>0</v>
      </c>
      <c r="Z142">
        <v>1066</v>
      </c>
    </row>
    <row r="143" spans="1:26" x14ac:dyDescent="0.25">
      <c r="H143" t="s">
        <v>270</v>
      </c>
    </row>
    <row r="144" spans="1:26" x14ac:dyDescent="0.25">
      <c r="A144">
        <v>69</v>
      </c>
      <c r="C144">
        <v>632</v>
      </c>
      <c r="D144" t="s">
        <v>271</v>
      </c>
      <c r="E144" t="s">
        <v>235</v>
      </c>
      <c r="F144" t="s">
        <v>90</v>
      </c>
      <c r="G144" t="s">
        <v>272</v>
      </c>
      <c r="H144" t="str">
        <f>"201511015019"</f>
        <v>201511015019</v>
      </c>
      <c r="I144">
        <v>834.9</v>
      </c>
      <c r="J144">
        <v>0</v>
      </c>
      <c r="K144">
        <v>0</v>
      </c>
      <c r="L144">
        <v>0</v>
      </c>
      <c r="M144">
        <v>200</v>
      </c>
      <c r="N144">
        <v>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Y144">
        <v>0</v>
      </c>
      <c r="Z144">
        <v>1064.9000000000001</v>
      </c>
    </row>
    <row r="145" spans="1:26" x14ac:dyDescent="0.25">
      <c r="H145" t="s">
        <v>273</v>
      </c>
    </row>
    <row r="146" spans="1:26" x14ac:dyDescent="0.25">
      <c r="A146">
        <v>70</v>
      </c>
      <c r="C146">
        <v>1085</v>
      </c>
      <c r="D146" t="s">
        <v>274</v>
      </c>
      <c r="E146" t="s">
        <v>275</v>
      </c>
      <c r="F146" t="s">
        <v>39</v>
      </c>
      <c r="G146" t="s">
        <v>276</v>
      </c>
      <c r="H146" t="str">
        <f>"201406008414"</f>
        <v>201406008414</v>
      </c>
      <c r="I146">
        <v>832.7</v>
      </c>
      <c r="J146">
        <v>0</v>
      </c>
      <c r="K146">
        <v>0</v>
      </c>
      <c r="L146">
        <v>0</v>
      </c>
      <c r="M146">
        <v>200</v>
      </c>
      <c r="N146">
        <v>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Y146">
        <v>0</v>
      </c>
      <c r="Z146">
        <v>1062.7</v>
      </c>
    </row>
    <row r="147" spans="1:26" x14ac:dyDescent="0.25">
      <c r="H147" t="s">
        <v>277</v>
      </c>
    </row>
    <row r="148" spans="1:26" x14ac:dyDescent="0.25">
      <c r="A148">
        <v>71</v>
      </c>
      <c r="B148" t="s">
        <v>243</v>
      </c>
      <c r="C148">
        <v>5144</v>
      </c>
      <c r="D148" t="s">
        <v>278</v>
      </c>
      <c r="E148" t="s">
        <v>279</v>
      </c>
      <c r="F148" t="s">
        <v>194</v>
      </c>
      <c r="G148" t="s">
        <v>280</v>
      </c>
      <c r="H148" t="str">
        <f>"201511034037"</f>
        <v>201511034037</v>
      </c>
      <c r="I148">
        <v>831.6</v>
      </c>
      <c r="J148">
        <v>0</v>
      </c>
      <c r="K148">
        <v>0</v>
      </c>
      <c r="L148">
        <v>0</v>
      </c>
      <c r="M148">
        <v>200</v>
      </c>
      <c r="N148">
        <v>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Y148">
        <v>0</v>
      </c>
      <c r="Z148">
        <v>1061.5999999999999</v>
      </c>
    </row>
    <row r="149" spans="1:26" x14ac:dyDescent="0.25">
      <c r="H149" t="s">
        <v>281</v>
      </c>
    </row>
    <row r="150" spans="1:26" x14ac:dyDescent="0.25">
      <c r="A150">
        <v>72</v>
      </c>
      <c r="B150" t="s">
        <v>282</v>
      </c>
      <c r="C150">
        <v>8109</v>
      </c>
      <c r="D150" t="s">
        <v>283</v>
      </c>
      <c r="E150" t="s">
        <v>284</v>
      </c>
      <c r="F150" t="s">
        <v>285</v>
      </c>
      <c r="G150" t="s">
        <v>286</v>
      </c>
      <c r="H150" t="str">
        <f>"201511036368"</f>
        <v>201511036368</v>
      </c>
      <c r="I150">
        <v>770</v>
      </c>
      <c r="J150">
        <v>0</v>
      </c>
      <c r="K150">
        <v>0</v>
      </c>
      <c r="L150">
        <v>0</v>
      </c>
      <c r="M150">
        <v>260</v>
      </c>
      <c r="N150">
        <v>0</v>
      </c>
      <c r="O150">
        <v>30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Y150">
        <v>0</v>
      </c>
      <c r="Z150">
        <v>1060</v>
      </c>
    </row>
    <row r="151" spans="1:26" x14ac:dyDescent="0.25">
      <c r="H151" t="s">
        <v>287</v>
      </c>
    </row>
    <row r="152" spans="1:26" x14ac:dyDescent="0.25">
      <c r="A152">
        <v>73</v>
      </c>
      <c r="C152">
        <v>13923</v>
      </c>
      <c r="D152" t="s">
        <v>288</v>
      </c>
      <c r="E152" t="s">
        <v>289</v>
      </c>
      <c r="F152" t="s">
        <v>290</v>
      </c>
      <c r="G152" t="s">
        <v>291</v>
      </c>
      <c r="H152" t="str">
        <f>"201511027608"</f>
        <v>201511027608</v>
      </c>
      <c r="I152">
        <v>789.8</v>
      </c>
      <c r="J152">
        <v>0</v>
      </c>
      <c r="K152">
        <v>0</v>
      </c>
      <c r="L152">
        <v>0</v>
      </c>
      <c r="M152">
        <v>200</v>
      </c>
      <c r="N152">
        <v>0</v>
      </c>
      <c r="O152">
        <v>70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Y152">
        <v>0</v>
      </c>
      <c r="Z152">
        <v>1059.8</v>
      </c>
    </row>
    <row r="153" spans="1:26" x14ac:dyDescent="0.25">
      <c r="H153" t="s">
        <v>292</v>
      </c>
    </row>
    <row r="154" spans="1:26" x14ac:dyDescent="0.25">
      <c r="A154">
        <v>74</v>
      </c>
      <c r="C154">
        <v>10458</v>
      </c>
      <c r="D154" t="s">
        <v>293</v>
      </c>
      <c r="E154" t="s">
        <v>294</v>
      </c>
      <c r="F154" t="s">
        <v>144</v>
      </c>
      <c r="G154" t="s">
        <v>295</v>
      </c>
      <c r="H154" t="str">
        <f>"00044014"</f>
        <v>00044014</v>
      </c>
      <c r="I154">
        <v>789.8</v>
      </c>
      <c r="J154">
        <v>0</v>
      </c>
      <c r="K154">
        <v>0</v>
      </c>
      <c r="L154">
        <v>0</v>
      </c>
      <c r="M154">
        <v>200</v>
      </c>
      <c r="N154">
        <v>0</v>
      </c>
      <c r="O154">
        <v>70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Y154">
        <v>0</v>
      </c>
      <c r="Z154">
        <v>1059.8</v>
      </c>
    </row>
    <row r="155" spans="1:26" x14ac:dyDescent="0.25">
      <c r="H155" t="s">
        <v>296</v>
      </c>
    </row>
    <row r="156" spans="1:26" x14ac:dyDescent="0.25">
      <c r="A156">
        <v>75</v>
      </c>
      <c r="C156">
        <v>10759</v>
      </c>
      <c r="D156" t="s">
        <v>297</v>
      </c>
      <c r="E156" t="s">
        <v>107</v>
      </c>
      <c r="F156" t="s">
        <v>298</v>
      </c>
      <c r="G156" t="s">
        <v>299</v>
      </c>
      <c r="H156" t="str">
        <f>"00230294"</f>
        <v>00230294</v>
      </c>
      <c r="I156">
        <v>789.8</v>
      </c>
      <c r="J156">
        <v>0</v>
      </c>
      <c r="K156">
        <v>0</v>
      </c>
      <c r="L156">
        <v>0</v>
      </c>
      <c r="M156">
        <v>200</v>
      </c>
      <c r="N156">
        <v>0</v>
      </c>
      <c r="O156">
        <v>70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Y156">
        <v>0</v>
      </c>
      <c r="Z156">
        <v>1059.8</v>
      </c>
    </row>
    <row r="157" spans="1:26" x14ac:dyDescent="0.25">
      <c r="H157" t="s">
        <v>300</v>
      </c>
    </row>
    <row r="158" spans="1:26" x14ac:dyDescent="0.25">
      <c r="A158">
        <v>76</v>
      </c>
      <c r="C158">
        <v>11337</v>
      </c>
      <c r="D158" t="s">
        <v>301</v>
      </c>
      <c r="E158" t="s">
        <v>112</v>
      </c>
      <c r="F158" t="s">
        <v>302</v>
      </c>
      <c r="G158" t="s">
        <v>303</v>
      </c>
      <c r="H158" t="str">
        <f>"201410012503"</f>
        <v>201410012503</v>
      </c>
      <c r="I158">
        <v>988.9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70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Y158">
        <v>0</v>
      </c>
      <c r="Z158">
        <v>1058.9000000000001</v>
      </c>
    </row>
    <row r="159" spans="1:26" x14ac:dyDescent="0.25">
      <c r="H159" t="s">
        <v>304</v>
      </c>
    </row>
    <row r="160" spans="1:26" x14ac:dyDescent="0.25">
      <c r="A160">
        <v>77</v>
      </c>
      <c r="C160">
        <v>9027</v>
      </c>
      <c r="D160" t="s">
        <v>305</v>
      </c>
      <c r="E160" t="s">
        <v>112</v>
      </c>
      <c r="F160" t="s">
        <v>90</v>
      </c>
      <c r="G160" t="s">
        <v>306</v>
      </c>
      <c r="H160" t="str">
        <f>"201511028369"</f>
        <v>201511028369</v>
      </c>
      <c r="I160">
        <v>786.5</v>
      </c>
      <c r="J160">
        <v>0</v>
      </c>
      <c r="K160">
        <v>0</v>
      </c>
      <c r="L160">
        <v>0</v>
      </c>
      <c r="M160">
        <v>200</v>
      </c>
      <c r="N160">
        <v>0</v>
      </c>
      <c r="O160">
        <v>70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Y160">
        <v>0</v>
      </c>
      <c r="Z160">
        <v>1056.5</v>
      </c>
    </row>
    <row r="161" spans="1:26" x14ac:dyDescent="0.25">
      <c r="H161" t="s">
        <v>307</v>
      </c>
    </row>
    <row r="162" spans="1:26" x14ac:dyDescent="0.25">
      <c r="A162">
        <v>78</v>
      </c>
      <c r="C162">
        <v>13956</v>
      </c>
      <c r="D162" t="s">
        <v>274</v>
      </c>
      <c r="E162" t="s">
        <v>235</v>
      </c>
      <c r="F162" t="s">
        <v>73</v>
      </c>
      <c r="G162" t="s">
        <v>308</v>
      </c>
      <c r="H162" t="str">
        <f>"201511031534"</f>
        <v>201511031534</v>
      </c>
      <c r="I162">
        <v>822.8</v>
      </c>
      <c r="J162">
        <v>0</v>
      </c>
      <c r="K162">
        <v>0</v>
      </c>
      <c r="L162">
        <v>0</v>
      </c>
      <c r="M162">
        <v>200</v>
      </c>
      <c r="N162">
        <v>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Y162">
        <v>0</v>
      </c>
      <c r="Z162">
        <v>1052.8</v>
      </c>
    </row>
    <row r="163" spans="1:26" x14ac:dyDescent="0.25">
      <c r="H163" t="s">
        <v>309</v>
      </c>
    </row>
    <row r="164" spans="1:26" x14ac:dyDescent="0.25">
      <c r="A164">
        <v>79</v>
      </c>
      <c r="C164">
        <v>984</v>
      </c>
      <c r="D164" t="s">
        <v>310</v>
      </c>
      <c r="E164" t="s">
        <v>208</v>
      </c>
      <c r="F164" t="s">
        <v>39</v>
      </c>
      <c r="G164" t="s">
        <v>311</v>
      </c>
      <c r="H164" t="str">
        <f>"00502940"</f>
        <v>00502940</v>
      </c>
      <c r="I164">
        <v>952.6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70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Y164">
        <v>0</v>
      </c>
      <c r="Z164">
        <v>1052.5999999999999</v>
      </c>
    </row>
    <row r="165" spans="1:26" x14ac:dyDescent="0.25">
      <c r="H165" t="s">
        <v>312</v>
      </c>
    </row>
    <row r="166" spans="1:26" x14ac:dyDescent="0.25">
      <c r="A166">
        <v>80</v>
      </c>
      <c r="C166">
        <v>15658</v>
      </c>
      <c r="D166" t="s">
        <v>313</v>
      </c>
      <c r="E166" t="s">
        <v>314</v>
      </c>
      <c r="F166" t="s">
        <v>127</v>
      </c>
      <c r="G166" t="s">
        <v>315</v>
      </c>
      <c r="H166" t="str">
        <f>"00498854"</f>
        <v>00498854</v>
      </c>
      <c r="I166">
        <v>852.5</v>
      </c>
      <c r="J166">
        <v>0</v>
      </c>
      <c r="K166">
        <v>0</v>
      </c>
      <c r="L166">
        <v>0</v>
      </c>
      <c r="M166">
        <v>200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Y166">
        <v>0</v>
      </c>
      <c r="Z166">
        <v>1052.5</v>
      </c>
    </row>
    <row r="167" spans="1:26" x14ac:dyDescent="0.25">
      <c r="H167" t="s">
        <v>316</v>
      </c>
    </row>
    <row r="168" spans="1:26" x14ac:dyDescent="0.25">
      <c r="A168">
        <v>81</v>
      </c>
      <c r="C168">
        <v>7435</v>
      </c>
      <c r="D168" t="s">
        <v>317</v>
      </c>
      <c r="E168" t="s">
        <v>318</v>
      </c>
      <c r="F168" t="s">
        <v>73</v>
      </c>
      <c r="G168" t="s">
        <v>319</v>
      </c>
      <c r="H168" t="str">
        <f>"201511033138"</f>
        <v>201511033138</v>
      </c>
      <c r="I168">
        <v>820.6</v>
      </c>
      <c r="J168">
        <v>0</v>
      </c>
      <c r="K168">
        <v>0</v>
      </c>
      <c r="L168">
        <v>0</v>
      </c>
      <c r="M168">
        <v>200</v>
      </c>
      <c r="N168">
        <v>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Y168">
        <v>0</v>
      </c>
      <c r="Z168">
        <v>1050.5999999999999</v>
      </c>
    </row>
    <row r="169" spans="1:26" x14ac:dyDescent="0.25">
      <c r="H169" t="s">
        <v>320</v>
      </c>
    </row>
    <row r="170" spans="1:26" x14ac:dyDescent="0.25">
      <c r="A170">
        <v>82</v>
      </c>
      <c r="C170">
        <v>4204</v>
      </c>
      <c r="D170" t="s">
        <v>321</v>
      </c>
      <c r="E170" t="s">
        <v>322</v>
      </c>
      <c r="F170" t="s">
        <v>323</v>
      </c>
      <c r="G170" t="s">
        <v>324</v>
      </c>
      <c r="H170" t="str">
        <f>"00662885"</f>
        <v>00662885</v>
      </c>
      <c r="I170">
        <v>1047.2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Y170">
        <v>0</v>
      </c>
      <c r="Z170">
        <v>1047.2</v>
      </c>
    </row>
    <row r="171" spans="1:26" x14ac:dyDescent="0.25">
      <c r="H171" t="s">
        <v>325</v>
      </c>
    </row>
    <row r="172" spans="1:26" x14ac:dyDescent="0.25">
      <c r="A172">
        <v>83</v>
      </c>
      <c r="C172">
        <v>1305</v>
      </c>
      <c r="D172" t="s">
        <v>326</v>
      </c>
      <c r="E172" t="s">
        <v>327</v>
      </c>
      <c r="F172" t="s">
        <v>16</v>
      </c>
      <c r="G172" t="s">
        <v>328</v>
      </c>
      <c r="H172" t="str">
        <f>"201511030160"</f>
        <v>201511030160</v>
      </c>
      <c r="I172">
        <v>843.7</v>
      </c>
      <c r="J172">
        <v>0</v>
      </c>
      <c r="K172">
        <v>0</v>
      </c>
      <c r="L172">
        <v>0</v>
      </c>
      <c r="M172">
        <v>200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Y172">
        <v>0</v>
      </c>
      <c r="Z172">
        <v>1043.7</v>
      </c>
    </row>
    <row r="173" spans="1:26" x14ac:dyDescent="0.25">
      <c r="H173" t="s">
        <v>329</v>
      </c>
    </row>
    <row r="174" spans="1:26" x14ac:dyDescent="0.25">
      <c r="A174">
        <v>84</v>
      </c>
      <c r="C174">
        <v>13434</v>
      </c>
      <c r="D174" t="s">
        <v>330</v>
      </c>
      <c r="E174" t="s">
        <v>89</v>
      </c>
      <c r="F174" t="s">
        <v>194</v>
      </c>
      <c r="G174" t="s">
        <v>331</v>
      </c>
      <c r="H174" t="str">
        <f>"201511015618"</f>
        <v>201511015618</v>
      </c>
      <c r="I174">
        <v>811.8</v>
      </c>
      <c r="J174">
        <v>0</v>
      </c>
      <c r="K174">
        <v>0</v>
      </c>
      <c r="L174">
        <v>0</v>
      </c>
      <c r="M174">
        <v>200</v>
      </c>
      <c r="N174">
        <v>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Y174">
        <v>0</v>
      </c>
      <c r="Z174">
        <v>1041.8</v>
      </c>
    </row>
    <row r="175" spans="1:26" x14ac:dyDescent="0.25">
      <c r="H175" t="s">
        <v>332</v>
      </c>
    </row>
    <row r="176" spans="1:26" x14ac:dyDescent="0.25">
      <c r="A176">
        <v>85</v>
      </c>
      <c r="C176">
        <v>5367</v>
      </c>
      <c r="D176" t="s">
        <v>333</v>
      </c>
      <c r="E176" t="s">
        <v>138</v>
      </c>
      <c r="F176" t="s">
        <v>334</v>
      </c>
      <c r="G176" t="s">
        <v>335</v>
      </c>
      <c r="H176" t="str">
        <f>"00096616"</f>
        <v>00096616</v>
      </c>
      <c r="I176">
        <v>810.7</v>
      </c>
      <c r="J176">
        <v>0</v>
      </c>
      <c r="K176">
        <v>0</v>
      </c>
      <c r="L176">
        <v>0</v>
      </c>
      <c r="M176">
        <v>200</v>
      </c>
      <c r="N176">
        <v>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Y176">
        <v>0</v>
      </c>
      <c r="Z176">
        <v>1040.7</v>
      </c>
    </row>
    <row r="177" spans="1:26" x14ac:dyDescent="0.25">
      <c r="H177" t="s">
        <v>336</v>
      </c>
    </row>
    <row r="178" spans="1:26" x14ac:dyDescent="0.25">
      <c r="A178">
        <v>86</v>
      </c>
      <c r="C178">
        <v>13084</v>
      </c>
      <c r="D178" t="s">
        <v>337</v>
      </c>
      <c r="E178" t="s">
        <v>338</v>
      </c>
      <c r="F178" t="s">
        <v>194</v>
      </c>
      <c r="G178" t="s">
        <v>339</v>
      </c>
      <c r="H178" t="str">
        <f>"00043713"</f>
        <v>00043713</v>
      </c>
      <c r="I178">
        <v>970.2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70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Y178">
        <v>0</v>
      </c>
      <c r="Z178">
        <v>1040.2</v>
      </c>
    </row>
    <row r="179" spans="1:26" x14ac:dyDescent="0.25">
      <c r="H179" t="s">
        <v>340</v>
      </c>
    </row>
    <row r="180" spans="1:26" x14ac:dyDescent="0.25">
      <c r="A180">
        <v>87</v>
      </c>
      <c r="C180">
        <v>6245</v>
      </c>
      <c r="D180" t="s">
        <v>341</v>
      </c>
      <c r="E180" t="s">
        <v>248</v>
      </c>
      <c r="F180" t="s">
        <v>342</v>
      </c>
      <c r="G180" t="s">
        <v>343</v>
      </c>
      <c r="H180" t="str">
        <f>"00501588"</f>
        <v>00501588</v>
      </c>
      <c r="I180">
        <v>939.4</v>
      </c>
      <c r="J180">
        <v>0</v>
      </c>
      <c r="K180">
        <v>0</v>
      </c>
      <c r="L180">
        <v>0</v>
      </c>
      <c r="M180">
        <v>0</v>
      </c>
      <c r="N180">
        <v>100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Y180">
        <v>0</v>
      </c>
      <c r="Z180">
        <v>1039.4000000000001</v>
      </c>
    </row>
    <row r="181" spans="1:26" x14ac:dyDescent="0.25">
      <c r="H181" t="s">
        <v>344</v>
      </c>
    </row>
    <row r="182" spans="1:26" x14ac:dyDescent="0.25">
      <c r="A182">
        <v>88</v>
      </c>
      <c r="C182">
        <v>10606</v>
      </c>
      <c r="D182" t="s">
        <v>345</v>
      </c>
      <c r="E182" t="s">
        <v>346</v>
      </c>
      <c r="F182" t="s">
        <v>73</v>
      </c>
      <c r="G182" t="s">
        <v>347</v>
      </c>
      <c r="H182" t="str">
        <f>"00449034"</f>
        <v>00449034</v>
      </c>
      <c r="I182">
        <v>767.8</v>
      </c>
      <c r="J182">
        <v>0</v>
      </c>
      <c r="K182">
        <v>0</v>
      </c>
      <c r="L182">
        <v>0</v>
      </c>
      <c r="M182">
        <v>200</v>
      </c>
      <c r="N182">
        <v>0</v>
      </c>
      <c r="O182">
        <v>70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Y182">
        <v>0</v>
      </c>
      <c r="Z182">
        <v>1037.8</v>
      </c>
    </row>
    <row r="183" spans="1:26" x14ac:dyDescent="0.25">
      <c r="H183" t="s">
        <v>348</v>
      </c>
    </row>
    <row r="184" spans="1:26" x14ac:dyDescent="0.25">
      <c r="A184">
        <v>89</v>
      </c>
      <c r="B184" t="s">
        <v>349</v>
      </c>
      <c r="C184">
        <v>2453</v>
      </c>
      <c r="D184" t="s">
        <v>350</v>
      </c>
      <c r="E184" t="s">
        <v>138</v>
      </c>
      <c r="F184" t="s">
        <v>73</v>
      </c>
      <c r="G184" t="s">
        <v>351</v>
      </c>
      <c r="H184" t="str">
        <f>"201204000101"</f>
        <v>201204000101</v>
      </c>
      <c r="I184">
        <v>787.6</v>
      </c>
      <c r="J184">
        <v>0</v>
      </c>
      <c r="K184">
        <v>0</v>
      </c>
      <c r="L184">
        <v>0</v>
      </c>
      <c r="M184">
        <v>200</v>
      </c>
      <c r="N184">
        <v>0</v>
      </c>
      <c r="O184">
        <v>50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Y184">
        <v>1</v>
      </c>
      <c r="Z184">
        <v>1037.5999999999999</v>
      </c>
    </row>
    <row r="185" spans="1:26" x14ac:dyDescent="0.25">
      <c r="H185" t="s">
        <v>352</v>
      </c>
    </row>
    <row r="186" spans="1:26" x14ac:dyDescent="0.25">
      <c r="A186">
        <v>90</v>
      </c>
      <c r="C186">
        <v>12270</v>
      </c>
      <c r="D186" t="s">
        <v>353</v>
      </c>
      <c r="E186" t="s">
        <v>354</v>
      </c>
      <c r="F186" t="s">
        <v>302</v>
      </c>
      <c r="G186" t="s">
        <v>355</v>
      </c>
      <c r="H186" t="str">
        <f>"00223877"</f>
        <v>00223877</v>
      </c>
      <c r="I186">
        <v>1005.4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Y186">
        <v>0</v>
      </c>
      <c r="Z186">
        <v>1035.4000000000001</v>
      </c>
    </row>
    <row r="187" spans="1:26" x14ac:dyDescent="0.25">
      <c r="H187" t="s">
        <v>356</v>
      </c>
    </row>
    <row r="188" spans="1:26" x14ac:dyDescent="0.25">
      <c r="A188">
        <v>91</v>
      </c>
      <c r="C188">
        <v>14356</v>
      </c>
      <c r="D188" t="s">
        <v>357</v>
      </c>
      <c r="E188" t="s">
        <v>358</v>
      </c>
      <c r="F188" t="s">
        <v>103</v>
      </c>
      <c r="G188" t="s">
        <v>359</v>
      </c>
      <c r="H188" t="str">
        <f>"00479200"</f>
        <v>00479200</v>
      </c>
      <c r="I188">
        <v>805.2</v>
      </c>
      <c r="J188">
        <v>0</v>
      </c>
      <c r="K188">
        <v>0</v>
      </c>
      <c r="L188">
        <v>0</v>
      </c>
      <c r="M188">
        <v>200</v>
      </c>
      <c r="N188">
        <v>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Y188">
        <v>0</v>
      </c>
      <c r="Z188">
        <v>1035.2</v>
      </c>
    </row>
    <row r="189" spans="1:26" x14ac:dyDescent="0.25">
      <c r="H189" t="s">
        <v>360</v>
      </c>
    </row>
    <row r="190" spans="1:26" x14ac:dyDescent="0.25">
      <c r="A190">
        <v>92</v>
      </c>
      <c r="C190">
        <v>9089</v>
      </c>
      <c r="D190" t="s">
        <v>361</v>
      </c>
      <c r="E190" t="s">
        <v>94</v>
      </c>
      <c r="F190" t="s">
        <v>16</v>
      </c>
      <c r="G190" t="s">
        <v>362</v>
      </c>
      <c r="H190" t="str">
        <f>"201511007798"</f>
        <v>201511007798</v>
      </c>
      <c r="I190">
        <v>764.5</v>
      </c>
      <c r="J190">
        <v>0</v>
      </c>
      <c r="K190">
        <v>0</v>
      </c>
      <c r="L190">
        <v>0</v>
      </c>
      <c r="M190">
        <v>200</v>
      </c>
      <c r="N190">
        <v>0</v>
      </c>
      <c r="O190">
        <v>70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Y190">
        <v>0</v>
      </c>
      <c r="Z190">
        <v>1034.5</v>
      </c>
    </row>
    <row r="191" spans="1:26" x14ac:dyDescent="0.25">
      <c r="H191" t="s">
        <v>363</v>
      </c>
    </row>
    <row r="192" spans="1:26" x14ac:dyDescent="0.25">
      <c r="A192">
        <v>93</v>
      </c>
      <c r="C192">
        <v>5934</v>
      </c>
      <c r="D192" t="s">
        <v>364</v>
      </c>
      <c r="E192" t="s">
        <v>365</v>
      </c>
      <c r="F192" t="s">
        <v>73</v>
      </c>
      <c r="G192" t="s">
        <v>366</v>
      </c>
      <c r="H192" t="str">
        <f>"201511042004"</f>
        <v>201511042004</v>
      </c>
      <c r="I192">
        <v>833.8</v>
      </c>
      <c r="J192">
        <v>0</v>
      </c>
      <c r="K192">
        <v>0</v>
      </c>
      <c r="L192">
        <v>0</v>
      </c>
      <c r="M192">
        <v>200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Y192">
        <v>0</v>
      </c>
      <c r="Z192">
        <v>1033.8</v>
      </c>
    </row>
    <row r="193" spans="1:26" x14ac:dyDescent="0.25">
      <c r="H193" t="s">
        <v>367</v>
      </c>
    </row>
    <row r="194" spans="1:26" x14ac:dyDescent="0.25">
      <c r="A194">
        <v>94</v>
      </c>
      <c r="B194" t="s">
        <v>368</v>
      </c>
      <c r="C194">
        <v>8747</v>
      </c>
      <c r="D194" t="s">
        <v>369</v>
      </c>
      <c r="E194" t="s">
        <v>98</v>
      </c>
      <c r="F194" t="s">
        <v>39</v>
      </c>
      <c r="G194" t="s">
        <v>370</v>
      </c>
      <c r="H194" t="str">
        <f>"201511035683"</f>
        <v>201511035683</v>
      </c>
      <c r="I194">
        <v>763.4</v>
      </c>
      <c r="J194">
        <v>0</v>
      </c>
      <c r="K194">
        <v>0</v>
      </c>
      <c r="L194">
        <v>0</v>
      </c>
      <c r="M194">
        <v>200</v>
      </c>
      <c r="N194">
        <v>0</v>
      </c>
      <c r="O194">
        <v>70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Y194">
        <v>0</v>
      </c>
      <c r="Z194">
        <v>1033.4000000000001</v>
      </c>
    </row>
    <row r="195" spans="1:26" x14ac:dyDescent="0.25">
      <c r="H195" t="s">
        <v>371</v>
      </c>
    </row>
    <row r="196" spans="1:26" x14ac:dyDescent="0.25">
      <c r="A196">
        <v>95</v>
      </c>
      <c r="C196">
        <v>5772</v>
      </c>
      <c r="D196" t="s">
        <v>372</v>
      </c>
      <c r="E196" t="s">
        <v>373</v>
      </c>
      <c r="F196" t="s">
        <v>374</v>
      </c>
      <c r="G196" t="s">
        <v>375</v>
      </c>
      <c r="H196" t="str">
        <f>"201402000990"</f>
        <v>201402000990</v>
      </c>
      <c r="I196">
        <v>800.8</v>
      </c>
      <c r="J196">
        <v>0</v>
      </c>
      <c r="K196">
        <v>0</v>
      </c>
      <c r="L196">
        <v>0</v>
      </c>
      <c r="M196">
        <v>200</v>
      </c>
      <c r="N196">
        <v>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Y196">
        <v>0</v>
      </c>
      <c r="Z196">
        <v>1030.8</v>
      </c>
    </row>
    <row r="197" spans="1:26" x14ac:dyDescent="0.25">
      <c r="H197" t="s">
        <v>376</v>
      </c>
    </row>
    <row r="198" spans="1:26" x14ac:dyDescent="0.25">
      <c r="A198">
        <v>96</v>
      </c>
      <c r="B198" t="s">
        <v>377</v>
      </c>
      <c r="C198">
        <v>9857</v>
      </c>
      <c r="D198" t="s">
        <v>378</v>
      </c>
      <c r="E198" t="s">
        <v>248</v>
      </c>
      <c r="F198" t="s">
        <v>39</v>
      </c>
      <c r="G198" t="s">
        <v>379</v>
      </c>
      <c r="H198" t="str">
        <f>"201511011714"</f>
        <v>201511011714</v>
      </c>
      <c r="I198">
        <v>828.3</v>
      </c>
      <c r="J198">
        <v>0</v>
      </c>
      <c r="K198">
        <v>0</v>
      </c>
      <c r="L198">
        <v>0</v>
      </c>
      <c r="M198">
        <v>200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Y198">
        <v>0</v>
      </c>
      <c r="Z198">
        <v>1028.3</v>
      </c>
    </row>
    <row r="199" spans="1:26" x14ac:dyDescent="0.25">
      <c r="H199" t="s">
        <v>380</v>
      </c>
    </row>
    <row r="200" spans="1:26" x14ac:dyDescent="0.25">
      <c r="A200">
        <v>97</v>
      </c>
      <c r="C200">
        <v>3619</v>
      </c>
      <c r="D200" t="s">
        <v>381</v>
      </c>
      <c r="E200" t="s">
        <v>138</v>
      </c>
      <c r="F200" t="s">
        <v>39</v>
      </c>
      <c r="G200" t="s">
        <v>382</v>
      </c>
      <c r="H200" t="str">
        <f>"200910000105"</f>
        <v>200910000105</v>
      </c>
      <c r="I200">
        <v>756.8</v>
      </c>
      <c r="J200">
        <v>0</v>
      </c>
      <c r="K200">
        <v>0</v>
      </c>
      <c r="L200">
        <v>0</v>
      </c>
      <c r="M200">
        <v>200</v>
      </c>
      <c r="N200">
        <v>0</v>
      </c>
      <c r="O200">
        <v>70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Y200">
        <v>0</v>
      </c>
      <c r="Z200">
        <v>1026.8</v>
      </c>
    </row>
    <row r="201" spans="1:26" x14ac:dyDescent="0.25">
      <c r="H201" t="s">
        <v>383</v>
      </c>
    </row>
    <row r="202" spans="1:26" x14ac:dyDescent="0.25">
      <c r="A202">
        <v>98</v>
      </c>
      <c r="C202">
        <v>2689</v>
      </c>
      <c r="D202" t="s">
        <v>384</v>
      </c>
      <c r="E202" t="s">
        <v>107</v>
      </c>
      <c r="F202" t="s">
        <v>385</v>
      </c>
      <c r="G202" t="s">
        <v>386</v>
      </c>
      <c r="H202" t="str">
        <f>"00021150"</f>
        <v>00021150</v>
      </c>
      <c r="I202">
        <v>826.1</v>
      </c>
      <c r="J202">
        <v>0</v>
      </c>
      <c r="K202">
        <v>0</v>
      </c>
      <c r="L202">
        <v>0</v>
      </c>
      <c r="M202">
        <v>200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Y202">
        <v>0</v>
      </c>
      <c r="Z202">
        <v>1026.0999999999999</v>
      </c>
    </row>
    <row r="203" spans="1:26" x14ac:dyDescent="0.25">
      <c r="H203" t="s">
        <v>387</v>
      </c>
    </row>
    <row r="204" spans="1:26" x14ac:dyDescent="0.25">
      <c r="A204">
        <v>99</v>
      </c>
      <c r="C204">
        <v>13579</v>
      </c>
      <c r="D204" t="s">
        <v>388</v>
      </c>
      <c r="E204" t="s">
        <v>248</v>
      </c>
      <c r="F204" t="s">
        <v>16</v>
      </c>
      <c r="G204" t="s">
        <v>389</v>
      </c>
      <c r="H204" t="str">
        <f>"00016056"</f>
        <v>00016056</v>
      </c>
      <c r="I204">
        <v>795.3</v>
      </c>
      <c r="J204">
        <v>0</v>
      </c>
      <c r="K204">
        <v>0</v>
      </c>
      <c r="L204">
        <v>0</v>
      </c>
      <c r="M204">
        <v>200</v>
      </c>
      <c r="N204">
        <v>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Y204">
        <v>0</v>
      </c>
      <c r="Z204">
        <v>1025.3</v>
      </c>
    </row>
    <row r="205" spans="1:26" x14ac:dyDescent="0.25">
      <c r="H205" t="s">
        <v>390</v>
      </c>
    </row>
    <row r="206" spans="1:26" x14ac:dyDescent="0.25">
      <c r="A206">
        <v>100</v>
      </c>
      <c r="C206">
        <v>9823</v>
      </c>
      <c r="D206" t="s">
        <v>391</v>
      </c>
      <c r="E206" t="s">
        <v>94</v>
      </c>
      <c r="F206" t="s">
        <v>16</v>
      </c>
      <c r="G206" t="s">
        <v>392</v>
      </c>
      <c r="H206" t="str">
        <f>"201511018699"</f>
        <v>201511018699</v>
      </c>
      <c r="I206">
        <v>749.1</v>
      </c>
      <c r="J206">
        <v>0</v>
      </c>
      <c r="K206">
        <v>0</v>
      </c>
      <c r="L206">
        <v>0</v>
      </c>
      <c r="M206">
        <v>200</v>
      </c>
      <c r="N206">
        <v>0</v>
      </c>
      <c r="O206">
        <v>70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Y206">
        <v>0</v>
      </c>
      <c r="Z206">
        <v>1019.1</v>
      </c>
    </row>
    <row r="207" spans="1:26" x14ac:dyDescent="0.25">
      <c r="H207" t="s">
        <v>393</v>
      </c>
    </row>
    <row r="208" spans="1:26" x14ac:dyDescent="0.25">
      <c r="A208">
        <v>101</v>
      </c>
      <c r="C208">
        <v>1839</v>
      </c>
      <c r="D208" t="s">
        <v>394</v>
      </c>
      <c r="E208" t="s">
        <v>395</v>
      </c>
      <c r="F208" t="s">
        <v>73</v>
      </c>
      <c r="G208" t="s">
        <v>396</v>
      </c>
      <c r="H208" t="str">
        <f>"201511035457"</f>
        <v>201511035457</v>
      </c>
      <c r="I208">
        <v>787.6</v>
      </c>
      <c r="J208">
        <v>0</v>
      </c>
      <c r="K208">
        <v>0</v>
      </c>
      <c r="L208">
        <v>0</v>
      </c>
      <c r="M208">
        <v>200</v>
      </c>
      <c r="N208">
        <v>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Y208">
        <v>0</v>
      </c>
      <c r="Z208">
        <v>1017.6</v>
      </c>
    </row>
    <row r="209" spans="1:26" x14ac:dyDescent="0.25">
      <c r="H209" t="s">
        <v>397</v>
      </c>
    </row>
    <row r="210" spans="1:26" x14ac:dyDescent="0.25">
      <c r="A210">
        <v>102</v>
      </c>
      <c r="C210">
        <v>9655</v>
      </c>
      <c r="D210" t="s">
        <v>398</v>
      </c>
      <c r="E210" t="s">
        <v>399</v>
      </c>
      <c r="F210" t="s">
        <v>342</v>
      </c>
      <c r="G210" t="s">
        <v>400</v>
      </c>
      <c r="H210" t="str">
        <f>"201511037421"</f>
        <v>201511037421</v>
      </c>
      <c r="I210">
        <v>786.5</v>
      </c>
      <c r="J210">
        <v>0</v>
      </c>
      <c r="K210">
        <v>0</v>
      </c>
      <c r="L210">
        <v>0</v>
      </c>
      <c r="M210">
        <v>200</v>
      </c>
      <c r="N210">
        <v>0</v>
      </c>
      <c r="O210">
        <v>30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Y210">
        <v>0</v>
      </c>
      <c r="Z210">
        <v>1016.5</v>
      </c>
    </row>
    <row r="211" spans="1:26" x14ac:dyDescent="0.25">
      <c r="H211" t="s">
        <v>401</v>
      </c>
    </row>
    <row r="212" spans="1:26" x14ac:dyDescent="0.25">
      <c r="A212">
        <v>103</v>
      </c>
      <c r="C212">
        <v>7059</v>
      </c>
      <c r="D212" t="s">
        <v>402</v>
      </c>
      <c r="E212" t="s">
        <v>112</v>
      </c>
      <c r="F212" t="s">
        <v>39</v>
      </c>
      <c r="G212" t="s">
        <v>403</v>
      </c>
      <c r="H212" t="str">
        <f>"201510002057"</f>
        <v>201510002057</v>
      </c>
      <c r="I212">
        <v>815.1</v>
      </c>
      <c r="J212">
        <v>0</v>
      </c>
      <c r="K212">
        <v>0</v>
      </c>
      <c r="L212">
        <v>0</v>
      </c>
      <c r="M212">
        <v>200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Y212">
        <v>0</v>
      </c>
      <c r="Z212">
        <v>1015.1</v>
      </c>
    </row>
    <row r="213" spans="1:26" x14ac:dyDescent="0.25">
      <c r="H213" t="s">
        <v>404</v>
      </c>
    </row>
    <row r="214" spans="1:26" x14ac:dyDescent="0.25">
      <c r="A214">
        <v>104</v>
      </c>
      <c r="C214">
        <v>11729</v>
      </c>
      <c r="D214" t="s">
        <v>405</v>
      </c>
      <c r="E214" t="s">
        <v>406</v>
      </c>
      <c r="F214" t="s">
        <v>127</v>
      </c>
      <c r="G214" t="s">
        <v>407</v>
      </c>
      <c r="H214" t="str">
        <f>"00075440"</f>
        <v>00075440</v>
      </c>
      <c r="I214">
        <v>864.6</v>
      </c>
      <c r="J214">
        <v>150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Y214">
        <v>0</v>
      </c>
      <c r="Z214">
        <v>1014.6</v>
      </c>
    </row>
    <row r="215" spans="1:26" x14ac:dyDescent="0.25">
      <c r="H215" t="s">
        <v>408</v>
      </c>
    </row>
    <row r="216" spans="1:26" x14ac:dyDescent="0.25">
      <c r="A216">
        <v>105</v>
      </c>
      <c r="C216">
        <v>4801</v>
      </c>
      <c r="D216" t="s">
        <v>409</v>
      </c>
      <c r="E216" t="s">
        <v>410</v>
      </c>
      <c r="F216" t="s">
        <v>411</v>
      </c>
      <c r="G216" t="s">
        <v>412</v>
      </c>
      <c r="H216" t="str">
        <f>"00579742"</f>
        <v>00579742</v>
      </c>
      <c r="I216">
        <v>953.7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30</v>
      </c>
      <c r="P216">
        <v>0</v>
      </c>
      <c r="Q216">
        <v>30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Y216">
        <v>0</v>
      </c>
      <c r="Z216">
        <v>1013.7</v>
      </c>
    </row>
    <row r="217" spans="1:26" x14ac:dyDescent="0.25">
      <c r="H217" t="s">
        <v>413</v>
      </c>
    </row>
    <row r="218" spans="1:26" x14ac:dyDescent="0.25">
      <c r="A218">
        <v>106</v>
      </c>
      <c r="C218">
        <v>108</v>
      </c>
      <c r="D218" t="s">
        <v>414</v>
      </c>
      <c r="E218" t="s">
        <v>415</v>
      </c>
      <c r="F218" t="s">
        <v>84</v>
      </c>
      <c r="G218" t="s">
        <v>416</v>
      </c>
      <c r="H218" t="str">
        <f>"00532272"</f>
        <v>00532272</v>
      </c>
      <c r="I218">
        <v>743.6</v>
      </c>
      <c r="J218">
        <v>0</v>
      </c>
      <c r="K218">
        <v>0</v>
      </c>
      <c r="L218">
        <v>0</v>
      </c>
      <c r="M218">
        <v>200</v>
      </c>
      <c r="N218">
        <v>0</v>
      </c>
      <c r="O218">
        <v>70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Y218">
        <v>0</v>
      </c>
      <c r="Z218">
        <v>1013.6</v>
      </c>
    </row>
    <row r="219" spans="1:26" x14ac:dyDescent="0.25">
      <c r="H219" t="s">
        <v>417</v>
      </c>
    </row>
    <row r="220" spans="1:26" x14ac:dyDescent="0.25">
      <c r="A220">
        <v>107</v>
      </c>
      <c r="C220">
        <v>9137</v>
      </c>
      <c r="D220" t="s">
        <v>418</v>
      </c>
      <c r="E220" t="s">
        <v>164</v>
      </c>
      <c r="F220" t="s">
        <v>51</v>
      </c>
      <c r="G220" t="s">
        <v>419</v>
      </c>
      <c r="H220" t="str">
        <f>"201511028646"</f>
        <v>201511028646</v>
      </c>
      <c r="I220">
        <v>783.2</v>
      </c>
      <c r="J220">
        <v>0</v>
      </c>
      <c r="K220">
        <v>0</v>
      </c>
      <c r="L220">
        <v>0</v>
      </c>
      <c r="M220">
        <v>200</v>
      </c>
      <c r="N220">
        <v>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Y220">
        <v>0</v>
      </c>
      <c r="Z220">
        <v>1013.2</v>
      </c>
    </row>
    <row r="221" spans="1:26" x14ac:dyDescent="0.25">
      <c r="H221" t="s">
        <v>420</v>
      </c>
    </row>
    <row r="222" spans="1:26" x14ac:dyDescent="0.25">
      <c r="A222">
        <v>108</v>
      </c>
      <c r="C222">
        <v>2600</v>
      </c>
      <c r="D222" t="s">
        <v>421</v>
      </c>
      <c r="E222" t="s">
        <v>422</v>
      </c>
      <c r="F222" t="s">
        <v>127</v>
      </c>
      <c r="G222" t="s">
        <v>423</v>
      </c>
      <c r="H222" t="str">
        <f>"201511004580"</f>
        <v>201511004580</v>
      </c>
      <c r="I222">
        <v>812.9</v>
      </c>
      <c r="J222">
        <v>0</v>
      </c>
      <c r="K222">
        <v>0</v>
      </c>
      <c r="L222">
        <v>0</v>
      </c>
      <c r="M222">
        <v>200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Y222">
        <v>0</v>
      </c>
      <c r="Z222">
        <v>1012.9</v>
      </c>
    </row>
    <row r="223" spans="1:26" x14ac:dyDescent="0.25">
      <c r="H223" t="s">
        <v>424</v>
      </c>
    </row>
    <row r="224" spans="1:26" x14ac:dyDescent="0.25">
      <c r="A224">
        <v>109</v>
      </c>
      <c r="C224">
        <v>844</v>
      </c>
      <c r="D224" t="s">
        <v>425</v>
      </c>
      <c r="E224" t="s">
        <v>426</v>
      </c>
      <c r="F224" t="s">
        <v>39</v>
      </c>
      <c r="G224" t="s">
        <v>427</v>
      </c>
      <c r="H224" t="str">
        <f>"201109000117"</f>
        <v>201109000117</v>
      </c>
      <c r="I224">
        <v>750.2</v>
      </c>
      <c r="J224">
        <v>0</v>
      </c>
      <c r="K224">
        <v>0</v>
      </c>
      <c r="L224">
        <v>0</v>
      </c>
      <c r="M224">
        <v>200</v>
      </c>
      <c r="N224">
        <v>0</v>
      </c>
      <c r="O224">
        <v>30</v>
      </c>
      <c r="P224">
        <v>0</v>
      </c>
      <c r="Q224">
        <v>0</v>
      </c>
      <c r="R224">
        <v>30</v>
      </c>
      <c r="S224">
        <v>0</v>
      </c>
      <c r="T224">
        <v>0</v>
      </c>
      <c r="U224">
        <v>0</v>
      </c>
      <c r="V224">
        <v>0</v>
      </c>
      <c r="W224">
        <v>0</v>
      </c>
      <c r="Y224">
        <v>0</v>
      </c>
      <c r="Z224">
        <v>1010.2</v>
      </c>
    </row>
    <row r="225" spans="1:26" x14ac:dyDescent="0.25">
      <c r="H225" t="s">
        <v>428</v>
      </c>
    </row>
    <row r="226" spans="1:26" x14ac:dyDescent="0.25">
      <c r="A226">
        <v>110</v>
      </c>
      <c r="C226">
        <v>10577</v>
      </c>
      <c r="D226" t="s">
        <v>429</v>
      </c>
      <c r="E226" t="s">
        <v>430</v>
      </c>
      <c r="F226" t="s">
        <v>194</v>
      </c>
      <c r="G226" t="s">
        <v>431</v>
      </c>
      <c r="H226" t="str">
        <f>"00682374"</f>
        <v>00682374</v>
      </c>
      <c r="I226">
        <v>980.1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Y226">
        <v>0</v>
      </c>
      <c r="Z226">
        <v>1010.1</v>
      </c>
    </row>
    <row r="227" spans="1:26" x14ac:dyDescent="0.25">
      <c r="H227" t="s">
        <v>432</v>
      </c>
    </row>
    <row r="228" spans="1:26" x14ac:dyDescent="0.25">
      <c r="A228">
        <v>111</v>
      </c>
      <c r="C228">
        <v>11523</v>
      </c>
      <c r="D228" t="s">
        <v>433</v>
      </c>
      <c r="E228" t="s">
        <v>194</v>
      </c>
      <c r="F228" t="s">
        <v>148</v>
      </c>
      <c r="G228" t="s">
        <v>434</v>
      </c>
      <c r="H228" t="str">
        <f>"201511029290"</f>
        <v>201511029290</v>
      </c>
      <c r="I228">
        <v>778.8</v>
      </c>
      <c r="J228">
        <v>0</v>
      </c>
      <c r="K228">
        <v>0</v>
      </c>
      <c r="L228">
        <v>0</v>
      </c>
      <c r="M228">
        <v>200</v>
      </c>
      <c r="N228">
        <v>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Y228">
        <v>0</v>
      </c>
      <c r="Z228">
        <v>1008.8</v>
      </c>
    </row>
    <row r="229" spans="1:26" x14ac:dyDescent="0.25">
      <c r="H229" t="s">
        <v>435</v>
      </c>
    </row>
    <row r="230" spans="1:26" x14ac:dyDescent="0.25">
      <c r="A230">
        <v>112</v>
      </c>
      <c r="C230">
        <v>9305</v>
      </c>
      <c r="D230" t="s">
        <v>436</v>
      </c>
      <c r="E230" t="s">
        <v>67</v>
      </c>
      <c r="F230" t="s">
        <v>78</v>
      </c>
      <c r="G230" t="s">
        <v>437</v>
      </c>
      <c r="H230" t="str">
        <f>"201501000503"</f>
        <v>201501000503</v>
      </c>
      <c r="I230">
        <v>976.8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Y230">
        <v>0</v>
      </c>
      <c r="Z230">
        <v>1006.8</v>
      </c>
    </row>
    <row r="231" spans="1:26" x14ac:dyDescent="0.25">
      <c r="H231" t="s">
        <v>438</v>
      </c>
    </row>
    <row r="232" spans="1:26" x14ac:dyDescent="0.25">
      <c r="A232">
        <v>113</v>
      </c>
      <c r="C232">
        <v>4846</v>
      </c>
      <c r="D232" t="s">
        <v>439</v>
      </c>
      <c r="E232" t="s">
        <v>440</v>
      </c>
      <c r="F232" t="s">
        <v>441</v>
      </c>
      <c r="G232" t="s">
        <v>442</v>
      </c>
      <c r="H232" t="str">
        <f>"201510004296"</f>
        <v>201510004296</v>
      </c>
      <c r="I232">
        <v>886.6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50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70</v>
      </c>
      <c r="V232">
        <v>0</v>
      </c>
      <c r="W232">
        <v>0</v>
      </c>
      <c r="Y232">
        <v>0</v>
      </c>
      <c r="Z232">
        <v>1006.6</v>
      </c>
    </row>
    <row r="233" spans="1:26" x14ac:dyDescent="0.25">
      <c r="H233" t="s">
        <v>443</v>
      </c>
    </row>
    <row r="234" spans="1:26" x14ac:dyDescent="0.25">
      <c r="A234">
        <v>114</v>
      </c>
      <c r="C234">
        <v>7585</v>
      </c>
      <c r="D234" t="s">
        <v>444</v>
      </c>
      <c r="E234" t="s">
        <v>112</v>
      </c>
      <c r="F234" t="s">
        <v>445</v>
      </c>
      <c r="G234" t="s">
        <v>446</v>
      </c>
      <c r="H234" t="str">
        <f>"201511005041"</f>
        <v>201511005041</v>
      </c>
      <c r="I234">
        <v>776.6</v>
      </c>
      <c r="J234">
        <v>0</v>
      </c>
      <c r="K234">
        <v>0</v>
      </c>
      <c r="L234">
        <v>0</v>
      </c>
      <c r="M234">
        <v>200</v>
      </c>
      <c r="N234">
        <v>0</v>
      </c>
      <c r="O234">
        <v>30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Y234">
        <v>0</v>
      </c>
      <c r="Z234">
        <v>1006.6</v>
      </c>
    </row>
    <row r="235" spans="1:26" x14ac:dyDescent="0.25">
      <c r="H235" t="s">
        <v>447</v>
      </c>
    </row>
    <row r="236" spans="1:26" x14ac:dyDescent="0.25">
      <c r="A236">
        <v>115</v>
      </c>
      <c r="C236">
        <v>17266</v>
      </c>
      <c r="D236" t="s">
        <v>448</v>
      </c>
      <c r="E236" t="s">
        <v>449</v>
      </c>
      <c r="F236" t="s">
        <v>138</v>
      </c>
      <c r="G236" t="s">
        <v>450</v>
      </c>
      <c r="H236" t="str">
        <f>"201504001846"</f>
        <v>201504001846</v>
      </c>
      <c r="I236">
        <v>776.6</v>
      </c>
      <c r="J236">
        <v>0</v>
      </c>
      <c r="K236">
        <v>0</v>
      </c>
      <c r="L236">
        <v>0</v>
      </c>
      <c r="M236">
        <v>200</v>
      </c>
      <c r="N236">
        <v>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Y236">
        <v>0</v>
      </c>
      <c r="Z236">
        <v>1006.6</v>
      </c>
    </row>
    <row r="237" spans="1:26" x14ac:dyDescent="0.25">
      <c r="H237" t="s">
        <v>451</v>
      </c>
    </row>
    <row r="238" spans="1:26" x14ac:dyDescent="0.25">
      <c r="A238">
        <v>116</v>
      </c>
      <c r="C238">
        <v>14651</v>
      </c>
      <c r="D238" t="s">
        <v>452</v>
      </c>
      <c r="E238" t="s">
        <v>235</v>
      </c>
      <c r="F238" t="s">
        <v>39</v>
      </c>
      <c r="G238" t="s">
        <v>453</v>
      </c>
      <c r="H238" t="str">
        <f>"201510000924"</f>
        <v>201510000924</v>
      </c>
      <c r="I238">
        <v>745.8</v>
      </c>
      <c r="J238">
        <v>0</v>
      </c>
      <c r="K238">
        <v>0</v>
      </c>
      <c r="L238">
        <v>0</v>
      </c>
      <c r="M238">
        <v>200</v>
      </c>
      <c r="N238">
        <v>0</v>
      </c>
      <c r="O238">
        <v>30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Y238">
        <v>0</v>
      </c>
      <c r="Z238">
        <v>1005.8</v>
      </c>
    </row>
    <row r="239" spans="1:26" x14ac:dyDescent="0.25">
      <c r="H239" t="s">
        <v>454</v>
      </c>
    </row>
    <row r="240" spans="1:26" x14ac:dyDescent="0.25">
      <c r="A240">
        <v>117</v>
      </c>
      <c r="C240">
        <v>14806</v>
      </c>
      <c r="D240" t="s">
        <v>455</v>
      </c>
      <c r="E240" t="s">
        <v>103</v>
      </c>
      <c r="F240" t="s">
        <v>456</v>
      </c>
      <c r="G240" t="s">
        <v>457</v>
      </c>
      <c r="H240" t="str">
        <f>"00500710"</f>
        <v>00500710</v>
      </c>
      <c r="I240">
        <v>775.5</v>
      </c>
      <c r="J240">
        <v>0</v>
      </c>
      <c r="K240">
        <v>0</v>
      </c>
      <c r="L240">
        <v>0</v>
      </c>
      <c r="M240">
        <v>200</v>
      </c>
      <c r="N240">
        <v>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Y240">
        <v>0</v>
      </c>
      <c r="Z240">
        <v>1005.5</v>
      </c>
    </row>
    <row r="241" spans="1:26" x14ac:dyDescent="0.25">
      <c r="H241" t="s">
        <v>458</v>
      </c>
    </row>
    <row r="242" spans="1:26" x14ac:dyDescent="0.25">
      <c r="A242">
        <v>118</v>
      </c>
      <c r="C242">
        <v>15671</v>
      </c>
      <c r="D242" t="s">
        <v>459</v>
      </c>
      <c r="E242" t="s">
        <v>460</v>
      </c>
      <c r="F242" t="s">
        <v>39</v>
      </c>
      <c r="G242" t="s">
        <v>461</v>
      </c>
      <c r="H242" t="str">
        <f>"201511029901"</f>
        <v>201511029901</v>
      </c>
      <c r="I242">
        <v>805.2</v>
      </c>
      <c r="J242">
        <v>0</v>
      </c>
      <c r="K242">
        <v>0</v>
      </c>
      <c r="L242">
        <v>0</v>
      </c>
      <c r="M242">
        <v>200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Y242">
        <v>0</v>
      </c>
      <c r="Z242">
        <v>1005.2</v>
      </c>
    </row>
    <row r="243" spans="1:26" x14ac:dyDescent="0.25">
      <c r="H243" t="s">
        <v>462</v>
      </c>
    </row>
    <row r="244" spans="1:26" x14ac:dyDescent="0.25">
      <c r="A244">
        <v>119</v>
      </c>
      <c r="C244">
        <v>10815</v>
      </c>
      <c r="D244" t="s">
        <v>463</v>
      </c>
      <c r="E244" t="s">
        <v>90</v>
      </c>
      <c r="F244" t="s">
        <v>236</v>
      </c>
      <c r="G244" t="s">
        <v>464</v>
      </c>
      <c r="H244" t="str">
        <f>"201511031154"</f>
        <v>201511031154</v>
      </c>
      <c r="I244">
        <v>804.1</v>
      </c>
      <c r="J244">
        <v>0</v>
      </c>
      <c r="K244">
        <v>0</v>
      </c>
      <c r="L244">
        <v>0</v>
      </c>
      <c r="M244">
        <v>200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Y244">
        <v>0</v>
      </c>
      <c r="Z244">
        <v>1004.1</v>
      </c>
    </row>
    <row r="245" spans="1:26" x14ac:dyDescent="0.25">
      <c r="H245" t="s">
        <v>465</v>
      </c>
    </row>
    <row r="246" spans="1:26" x14ac:dyDescent="0.25">
      <c r="A246">
        <v>120</v>
      </c>
      <c r="C246">
        <v>4333</v>
      </c>
      <c r="D246" t="s">
        <v>466</v>
      </c>
      <c r="E246" t="s">
        <v>467</v>
      </c>
      <c r="F246" t="s">
        <v>51</v>
      </c>
      <c r="G246" t="s">
        <v>468</v>
      </c>
      <c r="H246" t="str">
        <f>"00481864"</f>
        <v>00481864</v>
      </c>
      <c r="I246">
        <v>932.8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70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Y246">
        <v>0</v>
      </c>
      <c r="Z246">
        <v>1002.8</v>
      </c>
    </row>
    <row r="247" spans="1:26" x14ac:dyDescent="0.25">
      <c r="H247" t="s">
        <v>469</v>
      </c>
    </row>
    <row r="248" spans="1:26" x14ac:dyDescent="0.25">
      <c r="A248">
        <v>121</v>
      </c>
      <c r="C248">
        <v>15640</v>
      </c>
      <c r="D248" t="s">
        <v>470</v>
      </c>
      <c r="E248" t="s">
        <v>471</v>
      </c>
      <c r="F248" t="s">
        <v>194</v>
      </c>
      <c r="G248" t="s">
        <v>472</v>
      </c>
      <c r="H248" t="str">
        <f>"201511024491"</f>
        <v>201511024491</v>
      </c>
      <c r="I248">
        <v>772.2</v>
      </c>
      <c r="J248">
        <v>0</v>
      </c>
      <c r="K248">
        <v>0</v>
      </c>
      <c r="L248">
        <v>0</v>
      </c>
      <c r="M248">
        <v>200</v>
      </c>
      <c r="N248">
        <v>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Y248">
        <v>0</v>
      </c>
      <c r="Z248">
        <v>1002.2</v>
      </c>
    </row>
    <row r="249" spans="1:26" x14ac:dyDescent="0.25">
      <c r="H249" t="s">
        <v>473</v>
      </c>
    </row>
    <row r="250" spans="1:26" x14ac:dyDescent="0.25">
      <c r="A250">
        <v>122</v>
      </c>
      <c r="C250">
        <v>7303</v>
      </c>
      <c r="D250" t="s">
        <v>474</v>
      </c>
      <c r="E250" t="s">
        <v>475</v>
      </c>
      <c r="F250" t="s">
        <v>194</v>
      </c>
      <c r="G250" t="s">
        <v>476</v>
      </c>
      <c r="H250" t="str">
        <f>"00474484"</f>
        <v>00474484</v>
      </c>
      <c r="I250">
        <v>751.3</v>
      </c>
      <c r="J250">
        <v>0</v>
      </c>
      <c r="K250">
        <v>0</v>
      </c>
      <c r="L250">
        <v>0</v>
      </c>
      <c r="M250">
        <v>200</v>
      </c>
      <c r="N250">
        <v>0</v>
      </c>
      <c r="O250">
        <v>50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Y250">
        <v>0</v>
      </c>
      <c r="Z250">
        <v>1001.3</v>
      </c>
    </row>
    <row r="251" spans="1:26" x14ac:dyDescent="0.25">
      <c r="H251" t="s">
        <v>477</v>
      </c>
    </row>
    <row r="252" spans="1:26" x14ac:dyDescent="0.25">
      <c r="A252">
        <v>123</v>
      </c>
      <c r="C252">
        <v>10619</v>
      </c>
      <c r="D252" t="s">
        <v>478</v>
      </c>
      <c r="E252" t="s">
        <v>248</v>
      </c>
      <c r="F252" t="s">
        <v>73</v>
      </c>
      <c r="G252" t="s">
        <v>479</v>
      </c>
      <c r="H252" t="str">
        <f>"00069319"</f>
        <v>00069319</v>
      </c>
      <c r="I252">
        <v>970.2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Y252">
        <v>0</v>
      </c>
      <c r="Z252">
        <v>1000.2</v>
      </c>
    </row>
    <row r="253" spans="1:26" x14ac:dyDescent="0.25">
      <c r="H253" t="s">
        <v>480</v>
      </c>
    </row>
    <row r="254" spans="1:26" x14ac:dyDescent="0.25">
      <c r="A254">
        <v>124</v>
      </c>
      <c r="C254">
        <v>4254</v>
      </c>
      <c r="D254" t="s">
        <v>481</v>
      </c>
      <c r="E254" t="s">
        <v>415</v>
      </c>
      <c r="F254" t="s">
        <v>73</v>
      </c>
      <c r="G254" t="s">
        <v>482</v>
      </c>
      <c r="H254" t="str">
        <f>"00047413"</f>
        <v>00047413</v>
      </c>
      <c r="I254">
        <v>949.3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50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Y254">
        <v>0</v>
      </c>
      <c r="Z254">
        <v>999.3</v>
      </c>
    </row>
    <row r="255" spans="1:26" x14ac:dyDescent="0.25">
      <c r="H255" t="s">
        <v>483</v>
      </c>
    </row>
    <row r="256" spans="1:26" x14ac:dyDescent="0.25">
      <c r="A256">
        <v>125</v>
      </c>
      <c r="C256">
        <v>16416</v>
      </c>
      <c r="D256" t="s">
        <v>484</v>
      </c>
      <c r="E256" t="s">
        <v>16</v>
      </c>
      <c r="F256" t="s">
        <v>84</v>
      </c>
      <c r="G256" t="s">
        <v>485</v>
      </c>
      <c r="H256" t="str">
        <f>"201511006683"</f>
        <v>201511006683</v>
      </c>
      <c r="I256">
        <v>727.1</v>
      </c>
      <c r="J256">
        <v>0</v>
      </c>
      <c r="K256">
        <v>0</v>
      </c>
      <c r="L256">
        <v>0</v>
      </c>
      <c r="M256">
        <v>200</v>
      </c>
      <c r="N256">
        <v>0</v>
      </c>
      <c r="O256">
        <v>70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Y256">
        <v>0</v>
      </c>
      <c r="Z256">
        <v>997.1</v>
      </c>
    </row>
    <row r="257" spans="1:26" x14ac:dyDescent="0.25">
      <c r="H257" t="s">
        <v>486</v>
      </c>
    </row>
    <row r="258" spans="1:26" x14ac:dyDescent="0.25">
      <c r="A258">
        <v>126</v>
      </c>
      <c r="B258" t="s">
        <v>487</v>
      </c>
      <c r="C258">
        <v>357</v>
      </c>
      <c r="D258" t="s">
        <v>142</v>
      </c>
      <c r="E258" t="s">
        <v>488</v>
      </c>
      <c r="F258" t="s">
        <v>73</v>
      </c>
      <c r="G258" t="s">
        <v>489</v>
      </c>
      <c r="H258" t="str">
        <f>"201511041941"</f>
        <v>201511041941</v>
      </c>
      <c r="I258">
        <v>766.7</v>
      </c>
      <c r="J258">
        <v>0</v>
      </c>
      <c r="K258">
        <v>0</v>
      </c>
      <c r="L258">
        <v>0</v>
      </c>
      <c r="M258">
        <v>200</v>
      </c>
      <c r="N258">
        <v>0</v>
      </c>
      <c r="O258">
        <v>30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Y258">
        <v>2</v>
      </c>
      <c r="Z258">
        <v>996.7</v>
      </c>
    </row>
    <row r="259" spans="1:26" x14ac:dyDescent="0.25">
      <c r="H259" t="s">
        <v>490</v>
      </c>
    </row>
    <row r="260" spans="1:26" x14ac:dyDescent="0.25">
      <c r="A260">
        <v>127</v>
      </c>
      <c r="C260">
        <v>407</v>
      </c>
      <c r="D260" t="s">
        <v>491</v>
      </c>
      <c r="E260" t="s">
        <v>78</v>
      </c>
      <c r="F260" t="s">
        <v>113</v>
      </c>
      <c r="G260" t="s">
        <v>492</v>
      </c>
      <c r="H260" t="str">
        <f>"00094174"</f>
        <v>00094174</v>
      </c>
      <c r="I260">
        <v>795.3</v>
      </c>
      <c r="J260">
        <v>0</v>
      </c>
      <c r="K260">
        <v>0</v>
      </c>
      <c r="L260">
        <v>0</v>
      </c>
      <c r="M260">
        <v>200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Y260">
        <v>0</v>
      </c>
      <c r="Z260">
        <v>995.3</v>
      </c>
    </row>
    <row r="261" spans="1:26" x14ac:dyDescent="0.25">
      <c r="H261" t="s">
        <v>493</v>
      </c>
    </row>
    <row r="262" spans="1:26" x14ac:dyDescent="0.25">
      <c r="A262">
        <v>128</v>
      </c>
      <c r="B262" t="s">
        <v>494</v>
      </c>
      <c r="C262">
        <v>2192</v>
      </c>
      <c r="D262" t="s">
        <v>495</v>
      </c>
      <c r="E262" t="s">
        <v>112</v>
      </c>
      <c r="F262" t="s">
        <v>138</v>
      </c>
      <c r="G262" t="s">
        <v>496</v>
      </c>
      <c r="H262" t="str">
        <f>"00499871"</f>
        <v>00499871</v>
      </c>
      <c r="I262">
        <v>925.1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70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Y262">
        <v>1</v>
      </c>
      <c r="Z262">
        <v>995.1</v>
      </c>
    </row>
    <row r="263" spans="1:26" x14ac:dyDescent="0.25">
      <c r="H263" t="s">
        <v>497</v>
      </c>
    </row>
    <row r="264" spans="1:26" x14ac:dyDescent="0.25">
      <c r="A264">
        <v>129</v>
      </c>
      <c r="C264">
        <v>11239</v>
      </c>
      <c r="D264" t="s">
        <v>498</v>
      </c>
      <c r="E264" t="s">
        <v>499</v>
      </c>
      <c r="F264" t="s">
        <v>500</v>
      </c>
      <c r="G264" t="s">
        <v>501</v>
      </c>
      <c r="H264" t="str">
        <f>"00487415"</f>
        <v>00487415</v>
      </c>
      <c r="I264">
        <v>964.7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Y264">
        <v>0</v>
      </c>
      <c r="Z264">
        <v>994.7</v>
      </c>
    </row>
    <row r="265" spans="1:26" x14ac:dyDescent="0.25">
      <c r="H265" t="s">
        <v>502</v>
      </c>
    </row>
    <row r="266" spans="1:26" x14ac:dyDescent="0.25">
      <c r="A266">
        <v>130</v>
      </c>
      <c r="C266">
        <v>3969</v>
      </c>
      <c r="D266" t="s">
        <v>503</v>
      </c>
      <c r="E266" t="s">
        <v>78</v>
      </c>
      <c r="F266" t="s">
        <v>90</v>
      </c>
      <c r="G266" t="s">
        <v>504</v>
      </c>
      <c r="H266" t="str">
        <f>"00036149"</f>
        <v>00036149</v>
      </c>
      <c r="I266">
        <v>764.5</v>
      </c>
      <c r="J266">
        <v>0</v>
      </c>
      <c r="K266">
        <v>0</v>
      </c>
      <c r="L266">
        <v>0</v>
      </c>
      <c r="M266">
        <v>200</v>
      </c>
      <c r="N266">
        <v>0</v>
      </c>
      <c r="O266">
        <v>30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Y266">
        <v>0</v>
      </c>
      <c r="Z266">
        <v>994.5</v>
      </c>
    </row>
    <row r="267" spans="1:26" x14ac:dyDescent="0.25">
      <c r="H267" t="s">
        <v>505</v>
      </c>
    </row>
    <row r="268" spans="1:26" x14ac:dyDescent="0.25">
      <c r="A268">
        <v>131</v>
      </c>
      <c r="C268">
        <v>16498</v>
      </c>
      <c r="D268" t="s">
        <v>506</v>
      </c>
      <c r="E268" t="s">
        <v>107</v>
      </c>
      <c r="F268" t="s">
        <v>73</v>
      </c>
      <c r="G268" t="s">
        <v>507</v>
      </c>
      <c r="H268" t="str">
        <f>"201102000102"</f>
        <v>201102000102</v>
      </c>
      <c r="I268">
        <v>924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70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Y268">
        <v>0</v>
      </c>
      <c r="Z268">
        <v>994</v>
      </c>
    </row>
    <row r="269" spans="1:26" x14ac:dyDescent="0.25">
      <c r="H269" t="s">
        <v>508</v>
      </c>
    </row>
    <row r="270" spans="1:26" x14ac:dyDescent="0.25">
      <c r="A270">
        <v>132</v>
      </c>
      <c r="C270">
        <v>1811</v>
      </c>
      <c r="D270" t="s">
        <v>509</v>
      </c>
      <c r="E270" t="s">
        <v>510</v>
      </c>
      <c r="F270" t="s">
        <v>51</v>
      </c>
      <c r="G270" t="s">
        <v>511</v>
      </c>
      <c r="H270" t="str">
        <f>"00462294"</f>
        <v>00462294</v>
      </c>
      <c r="I270">
        <v>763.4</v>
      </c>
      <c r="J270">
        <v>0</v>
      </c>
      <c r="K270">
        <v>0</v>
      </c>
      <c r="L270">
        <v>0</v>
      </c>
      <c r="M270">
        <v>200</v>
      </c>
      <c r="N270">
        <v>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Y270">
        <v>0</v>
      </c>
      <c r="Z270">
        <v>993.4</v>
      </c>
    </row>
    <row r="271" spans="1:26" x14ac:dyDescent="0.25">
      <c r="H271" t="s">
        <v>512</v>
      </c>
    </row>
    <row r="272" spans="1:26" x14ac:dyDescent="0.25">
      <c r="A272">
        <v>133</v>
      </c>
      <c r="C272">
        <v>17591</v>
      </c>
      <c r="D272" t="s">
        <v>513</v>
      </c>
      <c r="E272" t="s">
        <v>415</v>
      </c>
      <c r="F272" t="s">
        <v>73</v>
      </c>
      <c r="G272" t="s">
        <v>514</v>
      </c>
      <c r="H272" t="str">
        <f>"201405000760"</f>
        <v>201405000760</v>
      </c>
      <c r="I272">
        <v>922.9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70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Y272">
        <v>0</v>
      </c>
      <c r="Z272">
        <v>992.9</v>
      </c>
    </row>
    <row r="273" spans="1:26" x14ac:dyDescent="0.25">
      <c r="H273" t="s">
        <v>515</v>
      </c>
    </row>
    <row r="274" spans="1:26" x14ac:dyDescent="0.25">
      <c r="A274">
        <v>134</v>
      </c>
      <c r="C274">
        <v>5018</v>
      </c>
      <c r="D274" t="s">
        <v>516</v>
      </c>
      <c r="E274" t="s">
        <v>517</v>
      </c>
      <c r="F274" t="s">
        <v>51</v>
      </c>
      <c r="G274" t="s">
        <v>518</v>
      </c>
      <c r="H274" t="str">
        <f>"00038290"</f>
        <v>00038290</v>
      </c>
      <c r="I274">
        <v>962.5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30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Y274">
        <v>0</v>
      </c>
      <c r="Z274">
        <v>992.5</v>
      </c>
    </row>
    <row r="275" spans="1:26" x14ac:dyDescent="0.25">
      <c r="H275" t="s">
        <v>519</v>
      </c>
    </row>
    <row r="276" spans="1:26" x14ac:dyDescent="0.25">
      <c r="A276">
        <v>135</v>
      </c>
      <c r="C276">
        <v>9727</v>
      </c>
      <c r="D276" t="s">
        <v>520</v>
      </c>
      <c r="E276" t="s">
        <v>264</v>
      </c>
      <c r="F276" t="s">
        <v>51</v>
      </c>
      <c r="G276" t="s">
        <v>521</v>
      </c>
      <c r="H276" t="str">
        <f>"00736676"</f>
        <v>00736676</v>
      </c>
      <c r="I276">
        <v>772.2</v>
      </c>
      <c r="J276">
        <v>150</v>
      </c>
      <c r="K276">
        <v>0</v>
      </c>
      <c r="L276">
        <v>0</v>
      </c>
      <c r="M276">
        <v>0</v>
      </c>
      <c r="N276">
        <v>0</v>
      </c>
      <c r="O276">
        <v>70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Y276">
        <v>0</v>
      </c>
      <c r="Z276">
        <v>992.2</v>
      </c>
    </row>
    <row r="277" spans="1:26" x14ac:dyDescent="0.25">
      <c r="H277" t="s">
        <v>522</v>
      </c>
    </row>
    <row r="278" spans="1:26" x14ac:dyDescent="0.25">
      <c r="A278">
        <v>136</v>
      </c>
      <c r="C278">
        <v>12739</v>
      </c>
      <c r="D278" t="s">
        <v>523</v>
      </c>
      <c r="E278" t="s">
        <v>248</v>
      </c>
      <c r="F278" t="s">
        <v>84</v>
      </c>
      <c r="G278" t="s">
        <v>524</v>
      </c>
      <c r="H278" t="str">
        <f>"201511040974"</f>
        <v>201511040974</v>
      </c>
      <c r="I278">
        <v>759</v>
      </c>
      <c r="J278">
        <v>0</v>
      </c>
      <c r="K278">
        <v>0</v>
      </c>
      <c r="L278">
        <v>0</v>
      </c>
      <c r="M278">
        <v>200</v>
      </c>
      <c r="N278">
        <v>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Y278">
        <v>0</v>
      </c>
      <c r="Z278">
        <v>989</v>
      </c>
    </row>
    <row r="279" spans="1:26" x14ac:dyDescent="0.25">
      <c r="H279" t="s">
        <v>525</v>
      </c>
    </row>
    <row r="280" spans="1:26" x14ac:dyDescent="0.25">
      <c r="A280">
        <v>137</v>
      </c>
      <c r="C280">
        <v>478</v>
      </c>
      <c r="D280" t="s">
        <v>526</v>
      </c>
      <c r="E280" t="s">
        <v>182</v>
      </c>
      <c r="F280" t="s">
        <v>126</v>
      </c>
      <c r="G280" t="s">
        <v>527</v>
      </c>
      <c r="H280" t="str">
        <f>"00476579"</f>
        <v>00476579</v>
      </c>
      <c r="I280">
        <v>916.3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70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Y280">
        <v>0</v>
      </c>
      <c r="Z280">
        <v>986.3</v>
      </c>
    </row>
    <row r="281" spans="1:26" x14ac:dyDescent="0.25">
      <c r="H281" t="s">
        <v>528</v>
      </c>
    </row>
    <row r="282" spans="1:26" x14ac:dyDescent="0.25">
      <c r="A282">
        <v>138</v>
      </c>
      <c r="C282">
        <v>7194</v>
      </c>
      <c r="D282" t="s">
        <v>529</v>
      </c>
      <c r="E282" t="s">
        <v>530</v>
      </c>
      <c r="F282" t="s">
        <v>138</v>
      </c>
      <c r="G282" t="s">
        <v>531</v>
      </c>
      <c r="H282" t="str">
        <f>"201511020718"</f>
        <v>201511020718</v>
      </c>
      <c r="I282">
        <v>914.1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70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Y282">
        <v>0</v>
      </c>
      <c r="Z282">
        <v>984.1</v>
      </c>
    </row>
    <row r="283" spans="1:26" x14ac:dyDescent="0.25">
      <c r="H283" t="s">
        <v>532</v>
      </c>
    </row>
    <row r="284" spans="1:26" x14ac:dyDescent="0.25">
      <c r="A284">
        <v>139</v>
      </c>
      <c r="C284">
        <v>12114</v>
      </c>
      <c r="D284" t="s">
        <v>533</v>
      </c>
      <c r="E284" t="s">
        <v>39</v>
      </c>
      <c r="F284" t="s">
        <v>84</v>
      </c>
      <c r="G284" t="s">
        <v>534</v>
      </c>
      <c r="H284" t="str">
        <f>"00467656"</f>
        <v>00467656</v>
      </c>
      <c r="I284">
        <v>953.7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30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Y284">
        <v>0</v>
      </c>
      <c r="Z284">
        <v>983.7</v>
      </c>
    </row>
    <row r="285" spans="1:26" x14ac:dyDescent="0.25">
      <c r="H285" t="s">
        <v>535</v>
      </c>
    </row>
    <row r="286" spans="1:26" x14ac:dyDescent="0.25">
      <c r="A286">
        <v>140</v>
      </c>
      <c r="C286">
        <v>7013</v>
      </c>
      <c r="D286" t="s">
        <v>536</v>
      </c>
      <c r="E286" t="s">
        <v>248</v>
      </c>
      <c r="F286" t="s">
        <v>103</v>
      </c>
      <c r="G286" t="s">
        <v>537</v>
      </c>
      <c r="H286" t="str">
        <f>"201511022915"</f>
        <v>201511022915</v>
      </c>
      <c r="I286">
        <v>753.5</v>
      </c>
      <c r="J286">
        <v>0</v>
      </c>
      <c r="K286">
        <v>0</v>
      </c>
      <c r="L286">
        <v>0</v>
      </c>
      <c r="M286">
        <v>200</v>
      </c>
      <c r="N286">
        <v>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Y286">
        <v>0</v>
      </c>
      <c r="Z286">
        <v>983.5</v>
      </c>
    </row>
    <row r="287" spans="1:26" x14ac:dyDescent="0.25">
      <c r="H287" t="s">
        <v>538</v>
      </c>
    </row>
    <row r="288" spans="1:26" x14ac:dyDescent="0.25">
      <c r="A288">
        <v>141</v>
      </c>
      <c r="C288">
        <v>5437</v>
      </c>
      <c r="D288" t="s">
        <v>539</v>
      </c>
      <c r="E288" t="s">
        <v>89</v>
      </c>
      <c r="F288" t="s">
        <v>540</v>
      </c>
      <c r="G288" t="s">
        <v>541</v>
      </c>
      <c r="H288" t="str">
        <f>"201511028419"</f>
        <v>201511028419</v>
      </c>
      <c r="I288">
        <v>913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70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Y288">
        <v>0</v>
      </c>
      <c r="Z288">
        <v>983</v>
      </c>
    </row>
    <row r="289" spans="1:26" x14ac:dyDescent="0.25">
      <c r="H289" t="s">
        <v>542</v>
      </c>
    </row>
    <row r="290" spans="1:26" x14ac:dyDescent="0.25">
      <c r="A290">
        <v>142</v>
      </c>
      <c r="C290">
        <v>10550</v>
      </c>
      <c r="D290" t="s">
        <v>543</v>
      </c>
      <c r="E290" t="s">
        <v>399</v>
      </c>
      <c r="F290" t="s">
        <v>127</v>
      </c>
      <c r="G290" t="s">
        <v>544</v>
      </c>
      <c r="H290" t="str">
        <f>"00021286"</f>
        <v>00021286</v>
      </c>
      <c r="I290">
        <v>913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70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Y290">
        <v>0</v>
      </c>
      <c r="Z290">
        <v>983</v>
      </c>
    </row>
    <row r="291" spans="1:26" x14ac:dyDescent="0.25">
      <c r="H291" t="s">
        <v>545</v>
      </c>
    </row>
    <row r="292" spans="1:26" x14ac:dyDescent="0.25">
      <c r="A292">
        <v>143</v>
      </c>
      <c r="C292">
        <v>842</v>
      </c>
      <c r="D292" t="s">
        <v>546</v>
      </c>
      <c r="E292" t="s">
        <v>547</v>
      </c>
      <c r="F292" t="s">
        <v>73</v>
      </c>
      <c r="G292" t="s">
        <v>548</v>
      </c>
      <c r="H292" t="str">
        <f>"201511042281"</f>
        <v>201511042281</v>
      </c>
      <c r="I292">
        <v>781</v>
      </c>
      <c r="J292">
        <v>0</v>
      </c>
      <c r="K292">
        <v>0</v>
      </c>
      <c r="L292">
        <v>0</v>
      </c>
      <c r="M292">
        <v>200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Y292">
        <v>0</v>
      </c>
      <c r="Z292">
        <v>981</v>
      </c>
    </row>
    <row r="293" spans="1:26" x14ac:dyDescent="0.25">
      <c r="H293" t="s">
        <v>549</v>
      </c>
    </row>
    <row r="294" spans="1:26" x14ac:dyDescent="0.25">
      <c r="A294">
        <v>144</v>
      </c>
      <c r="C294">
        <v>4878</v>
      </c>
      <c r="D294" t="s">
        <v>550</v>
      </c>
      <c r="E294" t="s">
        <v>248</v>
      </c>
      <c r="F294" t="s">
        <v>551</v>
      </c>
      <c r="G294" t="s">
        <v>552</v>
      </c>
      <c r="H294" t="str">
        <f>"00440232"</f>
        <v>00440232</v>
      </c>
      <c r="I294">
        <v>930.6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50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Y294">
        <v>0</v>
      </c>
      <c r="Z294">
        <v>980.6</v>
      </c>
    </row>
    <row r="295" spans="1:26" x14ac:dyDescent="0.25">
      <c r="H295" t="s">
        <v>553</v>
      </c>
    </row>
    <row r="296" spans="1:26" x14ac:dyDescent="0.25">
      <c r="A296">
        <v>145</v>
      </c>
      <c r="C296">
        <v>8871</v>
      </c>
      <c r="D296" t="s">
        <v>554</v>
      </c>
      <c r="E296" t="s">
        <v>107</v>
      </c>
      <c r="F296" t="s">
        <v>127</v>
      </c>
      <c r="G296" t="s">
        <v>555</v>
      </c>
      <c r="H296" t="str">
        <f>"201511034972"</f>
        <v>201511034972</v>
      </c>
      <c r="I296">
        <v>850.3</v>
      </c>
      <c r="J296">
        <v>0</v>
      </c>
      <c r="K296">
        <v>0</v>
      </c>
      <c r="L296">
        <v>0</v>
      </c>
      <c r="M296">
        <v>0</v>
      </c>
      <c r="N296">
        <v>100</v>
      </c>
      <c r="O296">
        <v>30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Y296">
        <v>0</v>
      </c>
      <c r="Z296">
        <v>980.3</v>
      </c>
    </row>
    <row r="297" spans="1:26" x14ac:dyDescent="0.25">
      <c r="H297" t="s">
        <v>556</v>
      </c>
    </row>
    <row r="298" spans="1:26" x14ac:dyDescent="0.25">
      <c r="A298">
        <v>146</v>
      </c>
      <c r="C298">
        <v>13723</v>
      </c>
      <c r="D298" t="s">
        <v>557</v>
      </c>
      <c r="E298" t="s">
        <v>558</v>
      </c>
      <c r="F298" t="s">
        <v>39</v>
      </c>
      <c r="G298" t="s">
        <v>559</v>
      </c>
      <c r="H298" t="str">
        <f>"200906000131"</f>
        <v>200906000131</v>
      </c>
      <c r="I298">
        <v>750.2</v>
      </c>
      <c r="J298">
        <v>0</v>
      </c>
      <c r="K298">
        <v>0</v>
      </c>
      <c r="L298">
        <v>0</v>
      </c>
      <c r="M298">
        <v>200</v>
      </c>
      <c r="N298">
        <v>0</v>
      </c>
      <c r="O298">
        <v>30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Y298">
        <v>0</v>
      </c>
      <c r="Z298">
        <v>980.2</v>
      </c>
    </row>
    <row r="299" spans="1:26" x14ac:dyDescent="0.25">
      <c r="H299" t="s">
        <v>560</v>
      </c>
    </row>
    <row r="300" spans="1:26" x14ac:dyDescent="0.25">
      <c r="A300">
        <v>147</v>
      </c>
      <c r="C300">
        <v>7721</v>
      </c>
      <c r="D300" t="s">
        <v>561</v>
      </c>
      <c r="E300" t="s">
        <v>562</v>
      </c>
      <c r="F300" t="s">
        <v>563</v>
      </c>
      <c r="G300" t="s">
        <v>564</v>
      </c>
      <c r="H300" t="str">
        <f>"00220534"</f>
        <v>00220534</v>
      </c>
      <c r="I300">
        <v>909.7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70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Y300">
        <v>0</v>
      </c>
      <c r="Z300">
        <v>979.7</v>
      </c>
    </row>
    <row r="301" spans="1:26" x14ac:dyDescent="0.25">
      <c r="H301" t="s">
        <v>565</v>
      </c>
    </row>
    <row r="302" spans="1:26" x14ac:dyDescent="0.25">
      <c r="A302">
        <v>148</v>
      </c>
      <c r="C302">
        <v>9401</v>
      </c>
      <c r="D302" t="s">
        <v>566</v>
      </c>
      <c r="E302" t="s">
        <v>127</v>
      </c>
      <c r="F302" t="s">
        <v>567</v>
      </c>
      <c r="G302" t="s">
        <v>568</v>
      </c>
      <c r="H302" t="str">
        <f>"00497320"</f>
        <v>00497320</v>
      </c>
      <c r="I302">
        <v>859.1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70</v>
      </c>
      <c r="P302">
        <v>0</v>
      </c>
      <c r="Q302">
        <v>50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Y302">
        <v>0</v>
      </c>
      <c r="Z302">
        <v>979.1</v>
      </c>
    </row>
    <row r="303" spans="1:26" x14ac:dyDescent="0.25">
      <c r="H303" t="s">
        <v>569</v>
      </c>
    </row>
    <row r="304" spans="1:26" x14ac:dyDescent="0.25">
      <c r="A304">
        <v>149</v>
      </c>
      <c r="C304">
        <v>14425</v>
      </c>
      <c r="D304" t="s">
        <v>570</v>
      </c>
      <c r="E304" t="s">
        <v>571</v>
      </c>
      <c r="F304" t="s">
        <v>16</v>
      </c>
      <c r="G304" t="s">
        <v>572</v>
      </c>
      <c r="H304" t="str">
        <f>"201511007348"</f>
        <v>201511007348</v>
      </c>
      <c r="I304">
        <v>979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Y304">
        <v>0</v>
      </c>
      <c r="Z304">
        <v>979</v>
      </c>
    </row>
    <row r="305" spans="1:26" x14ac:dyDescent="0.25">
      <c r="H305" t="s">
        <v>573</v>
      </c>
    </row>
    <row r="306" spans="1:26" x14ac:dyDescent="0.25">
      <c r="A306">
        <v>150</v>
      </c>
      <c r="C306">
        <v>9756</v>
      </c>
      <c r="D306" t="s">
        <v>574</v>
      </c>
      <c r="E306" t="s">
        <v>56</v>
      </c>
      <c r="F306" t="s">
        <v>575</v>
      </c>
      <c r="G306" t="s">
        <v>576</v>
      </c>
      <c r="H306" t="str">
        <f>"201511034944"</f>
        <v>201511034944</v>
      </c>
      <c r="I306">
        <v>948.2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Y306">
        <v>0</v>
      </c>
      <c r="Z306">
        <v>978.2</v>
      </c>
    </row>
    <row r="307" spans="1:26" x14ac:dyDescent="0.25">
      <c r="H307" t="s">
        <v>577</v>
      </c>
    </row>
    <row r="308" spans="1:26" x14ac:dyDescent="0.25">
      <c r="A308">
        <v>151</v>
      </c>
      <c r="C308">
        <v>14862</v>
      </c>
      <c r="D308" t="s">
        <v>578</v>
      </c>
      <c r="E308" t="s">
        <v>579</v>
      </c>
      <c r="F308" t="s">
        <v>51</v>
      </c>
      <c r="G308" t="s">
        <v>580</v>
      </c>
      <c r="H308" t="str">
        <f>"00476110"</f>
        <v>00476110</v>
      </c>
      <c r="I308">
        <v>948.2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30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Y308">
        <v>0</v>
      </c>
      <c r="Z308">
        <v>978.2</v>
      </c>
    </row>
    <row r="309" spans="1:26" x14ac:dyDescent="0.25">
      <c r="H309" t="s">
        <v>581</v>
      </c>
    </row>
    <row r="310" spans="1:26" x14ac:dyDescent="0.25">
      <c r="A310">
        <v>152</v>
      </c>
      <c r="C310">
        <v>2588</v>
      </c>
      <c r="D310" t="s">
        <v>582</v>
      </c>
      <c r="E310" t="s">
        <v>583</v>
      </c>
      <c r="F310" t="s">
        <v>103</v>
      </c>
      <c r="G310" t="s">
        <v>584</v>
      </c>
      <c r="H310" t="str">
        <f>"201511024599"</f>
        <v>201511024599</v>
      </c>
      <c r="I310">
        <v>907.5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70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Y310">
        <v>0</v>
      </c>
      <c r="Z310">
        <v>977.5</v>
      </c>
    </row>
    <row r="311" spans="1:26" x14ac:dyDescent="0.25">
      <c r="H311" t="s">
        <v>585</v>
      </c>
    </row>
    <row r="312" spans="1:26" x14ac:dyDescent="0.25">
      <c r="A312">
        <v>153</v>
      </c>
      <c r="B312" t="s">
        <v>159</v>
      </c>
      <c r="C312">
        <v>814</v>
      </c>
      <c r="D312" t="s">
        <v>586</v>
      </c>
      <c r="E312" t="s">
        <v>199</v>
      </c>
      <c r="F312" t="s">
        <v>194</v>
      </c>
      <c r="G312" t="s">
        <v>587</v>
      </c>
      <c r="H312" t="str">
        <f>"201102000531"</f>
        <v>201102000531</v>
      </c>
      <c r="I312">
        <v>707.3</v>
      </c>
      <c r="J312">
        <v>0</v>
      </c>
      <c r="K312">
        <v>0</v>
      </c>
      <c r="L312">
        <v>0</v>
      </c>
      <c r="M312">
        <v>200</v>
      </c>
      <c r="N312">
        <v>0</v>
      </c>
      <c r="O312">
        <v>70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Y312">
        <v>0</v>
      </c>
      <c r="Z312">
        <v>977.3</v>
      </c>
    </row>
    <row r="313" spans="1:26" x14ac:dyDescent="0.25">
      <c r="H313" t="s">
        <v>588</v>
      </c>
    </row>
    <row r="314" spans="1:26" x14ac:dyDescent="0.25">
      <c r="A314">
        <v>154</v>
      </c>
      <c r="C314">
        <v>10324</v>
      </c>
      <c r="D314" t="s">
        <v>589</v>
      </c>
      <c r="E314" t="s">
        <v>89</v>
      </c>
      <c r="F314" t="s">
        <v>590</v>
      </c>
      <c r="G314" t="s">
        <v>591</v>
      </c>
      <c r="H314" t="str">
        <f>"201102000833"</f>
        <v>201102000833</v>
      </c>
      <c r="I314">
        <v>906.4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70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Y314">
        <v>0</v>
      </c>
      <c r="Z314">
        <v>976.4</v>
      </c>
    </row>
    <row r="315" spans="1:26" x14ac:dyDescent="0.25">
      <c r="H315" t="s">
        <v>592</v>
      </c>
    </row>
    <row r="316" spans="1:26" x14ac:dyDescent="0.25">
      <c r="A316">
        <v>155</v>
      </c>
      <c r="C316">
        <v>16485</v>
      </c>
      <c r="D316" t="s">
        <v>593</v>
      </c>
      <c r="E316" t="s">
        <v>275</v>
      </c>
      <c r="F316" t="s">
        <v>73</v>
      </c>
      <c r="G316" t="s">
        <v>594</v>
      </c>
      <c r="H316" t="str">
        <f>"201201000139"</f>
        <v>201201000139</v>
      </c>
      <c r="I316">
        <v>796.4</v>
      </c>
      <c r="J316">
        <v>150</v>
      </c>
      <c r="K316">
        <v>0</v>
      </c>
      <c r="L316">
        <v>0</v>
      </c>
      <c r="M316">
        <v>0</v>
      </c>
      <c r="N316">
        <v>0</v>
      </c>
      <c r="O316">
        <v>30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Y316">
        <v>0</v>
      </c>
      <c r="Z316">
        <v>976.4</v>
      </c>
    </row>
    <row r="317" spans="1:26" x14ac:dyDescent="0.25">
      <c r="H317" t="s">
        <v>595</v>
      </c>
    </row>
    <row r="318" spans="1:26" x14ac:dyDescent="0.25">
      <c r="A318">
        <v>156</v>
      </c>
      <c r="C318">
        <v>4230</v>
      </c>
      <c r="D318" t="s">
        <v>596</v>
      </c>
      <c r="E318" t="s">
        <v>395</v>
      </c>
      <c r="F318" t="s">
        <v>597</v>
      </c>
      <c r="G318" t="s">
        <v>598</v>
      </c>
      <c r="H318" t="str">
        <f>"00490160"</f>
        <v>00490160</v>
      </c>
      <c r="I318">
        <v>926.2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50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Y318">
        <v>0</v>
      </c>
      <c r="Z318">
        <v>976.2</v>
      </c>
    </row>
    <row r="319" spans="1:26" x14ac:dyDescent="0.25">
      <c r="H319" t="s">
        <v>599</v>
      </c>
    </row>
    <row r="320" spans="1:26" x14ac:dyDescent="0.25">
      <c r="A320">
        <v>157</v>
      </c>
      <c r="C320">
        <v>11751</v>
      </c>
      <c r="D320" t="s">
        <v>600</v>
      </c>
      <c r="E320" t="s">
        <v>148</v>
      </c>
      <c r="F320" t="s">
        <v>39</v>
      </c>
      <c r="G320" t="s">
        <v>601</v>
      </c>
      <c r="H320" t="str">
        <f>"00560139"</f>
        <v>00560139</v>
      </c>
      <c r="I320">
        <v>944.9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30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Y320">
        <v>0</v>
      </c>
      <c r="Z320">
        <v>974.9</v>
      </c>
    </row>
    <row r="321" spans="1:26" x14ac:dyDescent="0.25">
      <c r="H321" t="s">
        <v>602</v>
      </c>
    </row>
    <row r="322" spans="1:26" x14ac:dyDescent="0.25">
      <c r="A322">
        <v>158</v>
      </c>
      <c r="B322" t="s">
        <v>603</v>
      </c>
      <c r="C322">
        <v>5819</v>
      </c>
      <c r="D322" t="s">
        <v>604</v>
      </c>
      <c r="E322" t="s">
        <v>373</v>
      </c>
      <c r="F322" t="s">
        <v>346</v>
      </c>
      <c r="G322" t="s">
        <v>605</v>
      </c>
      <c r="H322" t="str">
        <f>"00494393"</f>
        <v>00494393</v>
      </c>
      <c r="I322">
        <v>941.6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Y322">
        <v>2</v>
      </c>
      <c r="Z322">
        <v>971.6</v>
      </c>
    </row>
    <row r="323" spans="1:26" x14ac:dyDescent="0.25">
      <c r="H323" t="s">
        <v>606</v>
      </c>
    </row>
    <row r="324" spans="1:26" x14ac:dyDescent="0.25">
      <c r="A324">
        <v>159</v>
      </c>
      <c r="C324">
        <v>2608</v>
      </c>
      <c r="D324" t="s">
        <v>607</v>
      </c>
      <c r="E324" t="s">
        <v>112</v>
      </c>
      <c r="F324" t="s">
        <v>374</v>
      </c>
      <c r="G324" t="s">
        <v>608</v>
      </c>
      <c r="H324" t="str">
        <f>"201511037742"</f>
        <v>201511037742</v>
      </c>
      <c r="I324">
        <v>971.3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Y324">
        <v>0</v>
      </c>
      <c r="Z324">
        <v>971.3</v>
      </c>
    </row>
    <row r="325" spans="1:26" x14ac:dyDescent="0.25">
      <c r="H325" t="s">
        <v>609</v>
      </c>
    </row>
    <row r="326" spans="1:26" x14ac:dyDescent="0.25">
      <c r="A326">
        <v>160</v>
      </c>
      <c r="C326">
        <v>17316</v>
      </c>
      <c r="D326" t="s">
        <v>610</v>
      </c>
      <c r="E326" t="s">
        <v>365</v>
      </c>
      <c r="F326" t="s">
        <v>342</v>
      </c>
      <c r="G326" t="s">
        <v>611</v>
      </c>
      <c r="H326" t="str">
        <f>"00489821"</f>
        <v>00489821</v>
      </c>
      <c r="I326">
        <v>938.3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Y326">
        <v>0</v>
      </c>
      <c r="Z326">
        <v>968.3</v>
      </c>
    </row>
    <row r="327" spans="1:26" x14ac:dyDescent="0.25">
      <c r="H327" t="s">
        <v>612</v>
      </c>
    </row>
    <row r="328" spans="1:26" x14ac:dyDescent="0.25">
      <c r="A328">
        <v>161</v>
      </c>
      <c r="C328">
        <v>3635</v>
      </c>
      <c r="D328" t="s">
        <v>613</v>
      </c>
      <c r="E328" t="s">
        <v>84</v>
      </c>
      <c r="F328" t="s">
        <v>51</v>
      </c>
      <c r="G328" t="s">
        <v>614</v>
      </c>
      <c r="H328" t="str">
        <f>"201511038792"</f>
        <v>201511038792</v>
      </c>
      <c r="I328">
        <v>738.1</v>
      </c>
      <c r="J328">
        <v>0</v>
      </c>
      <c r="K328">
        <v>0</v>
      </c>
      <c r="L328">
        <v>0</v>
      </c>
      <c r="M328">
        <v>200</v>
      </c>
      <c r="N328">
        <v>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Y328">
        <v>0</v>
      </c>
      <c r="Z328">
        <v>968.1</v>
      </c>
    </row>
    <row r="329" spans="1:26" x14ac:dyDescent="0.25">
      <c r="H329" t="s">
        <v>615</v>
      </c>
    </row>
    <row r="330" spans="1:26" x14ac:dyDescent="0.25">
      <c r="A330">
        <v>162</v>
      </c>
      <c r="C330">
        <v>3252</v>
      </c>
      <c r="D330" t="s">
        <v>616</v>
      </c>
      <c r="E330" t="s">
        <v>112</v>
      </c>
      <c r="F330" t="s">
        <v>127</v>
      </c>
      <c r="G330" t="s">
        <v>617</v>
      </c>
      <c r="H330" t="str">
        <f>"201511021533"</f>
        <v>201511021533</v>
      </c>
      <c r="I330">
        <v>767.8</v>
      </c>
      <c r="J330">
        <v>0</v>
      </c>
      <c r="K330">
        <v>0</v>
      </c>
      <c r="L330">
        <v>0</v>
      </c>
      <c r="M330">
        <v>200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Y330">
        <v>0</v>
      </c>
      <c r="Z330">
        <v>967.8</v>
      </c>
    </row>
    <row r="331" spans="1:26" x14ac:dyDescent="0.25">
      <c r="H331" t="s">
        <v>618</v>
      </c>
    </row>
    <row r="332" spans="1:26" x14ac:dyDescent="0.25">
      <c r="A332">
        <v>163</v>
      </c>
      <c r="C332">
        <v>17689</v>
      </c>
      <c r="D332" t="s">
        <v>619</v>
      </c>
      <c r="E332" t="s">
        <v>620</v>
      </c>
      <c r="F332" t="s">
        <v>39</v>
      </c>
      <c r="G332" t="s">
        <v>621</v>
      </c>
      <c r="H332" t="str">
        <f>"00490273"</f>
        <v>00490273</v>
      </c>
      <c r="I332">
        <v>937.2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Y332">
        <v>0</v>
      </c>
      <c r="Z332">
        <v>967.2</v>
      </c>
    </row>
    <row r="333" spans="1:26" x14ac:dyDescent="0.25">
      <c r="H333" t="s">
        <v>622</v>
      </c>
    </row>
    <row r="334" spans="1:26" x14ac:dyDescent="0.25">
      <c r="A334">
        <v>164</v>
      </c>
      <c r="C334">
        <v>12989</v>
      </c>
      <c r="D334" t="s">
        <v>623</v>
      </c>
      <c r="E334" t="s">
        <v>112</v>
      </c>
      <c r="F334" t="s">
        <v>39</v>
      </c>
      <c r="G334" t="s">
        <v>624</v>
      </c>
      <c r="H334" t="str">
        <f>"201402005902"</f>
        <v>201402005902</v>
      </c>
      <c r="I334">
        <v>737</v>
      </c>
      <c r="J334">
        <v>0</v>
      </c>
      <c r="K334">
        <v>0</v>
      </c>
      <c r="L334">
        <v>0</v>
      </c>
      <c r="M334">
        <v>200</v>
      </c>
      <c r="N334">
        <v>0</v>
      </c>
      <c r="O334">
        <v>30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Y334">
        <v>0</v>
      </c>
      <c r="Z334">
        <v>967</v>
      </c>
    </row>
    <row r="335" spans="1:26" x14ac:dyDescent="0.25">
      <c r="H335" t="s">
        <v>625</v>
      </c>
    </row>
    <row r="336" spans="1:26" x14ac:dyDescent="0.25">
      <c r="A336">
        <v>165</v>
      </c>
      <c r="C336">
        <v>733</v>
      </c>
      <c r="D336" t="s">
        <v>626</v>
      </c>
      <c r="E336" t="s">
        <v>627</v>
      </c>
      <c r="F336" t="s">
        <v>194</v>
      </c>
      <c r="G336" t="s">
        <v>628</v>
      </c>
      <c r="H336" t="str">
        <f>"00503642"</f>
        <v>00503642</v>
      </c>
      <c r="I336">
        <v>936.1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Y336">
        <v>0</v>
      </c>
      <c r="Z336">
        <v>966.1</v>
      </c>
    </row>
    <row r="337" spans="1:26" x14ac:dyDescent="0.25">
      <c r="H337" t="s">
        <v>629</v>
      </c>
    </row>
    <row r="338" spans="1:26" x14ac:dyDescent="0.25">
      <c r="A338">
        <v>166</v>
      </c>
      <c r="C338">
        <v>15647</v>
      </c>
      <c r="D338" t="s">
        <v>630</v>
      </c>
      <c r="E338" t="s">
        <v>117</v>
      </c>
      <c r="F338" t="s">
        <v>90</v>
      </c>
      <c r="G338" t="s">
        <v>631</v>
      </c>
      <c r="H338" t="str">
        <f>"00735747"</f>
        <v>00735747</v>
      </c>
      <c r="I338">
        <v>845.9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70</v>
      </c>
      <c r="P338">
        <v>50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Y338">
        <v>0</v>
      </c>
      <c r="Z338">
        <v>965.9</v>
      </c>
    </row>
    <row r="339" spans="1:26" x14ac:dyDescent="0.25">
      <c r="H339" t="s">
        <v>632</v>
      </c>
    </row>
    <row r="340" spans="1:26" x14ac:dyDescent="0.25">
      <c r="A340">
        <v>167</v>
      </c>
      <c r="C340">
        <v>8197</v>
      </c>
      <c r="D340" t="s">
        <v>633</v>
      </c>
      <c r="E340" t="s">
        <v>634</v>
      </c>
      <c r="F340" t="s">
        <v>635</v>
      </c>
      <c r="G340" t="s">
        <v>636</v>
      </c>
      <c r="H340" t="str">
        <f>"00504461"</f>
        <v>00504461</v>
      </c>
      <c r="I340">
        <v>865.7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70</v>
      </c>
      <c r="P340">
        <v>0</v>
      </c>
      <c r="Q340">
        <v>0</v>
      </c>
      <c r="R340">
        <v>30</v>
      </c>
      <c r="S340">
        <v>0</v>
      </c>
      <c r="T340">
        <v>0</v>
      </c>
      <c r="U340">
        <v>0</v>
      </c>
      <c r="V340">
        <v>0</v>
      </c>
      <c r="W340">
        <v>0</v>
      </c>
      <c r="Y340">
        <v>0</v>
      </c>
      <c r="Z340">
        <v>965.7</v>
      </c>
    </row>
    <row r="341" spans="1:26" x14ac:dyDescent="0.25">
      <c r="H341" t="s">
        <v>637</v>
      </c>
    </row>
    <row r="342" spans="1:26" x14ac:dyDescent="0.25">
      <c r="A342">
        <v>168</v>
      </c>
      <c r="B342" t="s">
        <v>638</v>
      </c>
      <c r="C342">
        <v>1211</v>
      </c>
      <c r="D342" t="s">
        <v>142</v>
      </c>
      <c r="E342" t="s">
        <v>132</v>
      </c>
      <c r="F342" t="s">
        <v>148</v>
      </c>
      <c r="G342" t="s">
        <v>639</v>
      </c>
      <c r="H342" t="str">
        <f>"00015663"</f>
        <v>00015663</v>
      </c>
      <c r="I342">
        <v>935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30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Y342">
        <v>1</v>
      </c>
      <c r="Z342">
        <v>965</v>
      </c>
    </row>
    <row r="343" spans="1:26" x14ac:dyDescent="0.25">
      <c r="H343" t="s">
        <v>640</v>
      </c>
    </row>
    <row r="344" spans="1:26" x14ac:dyDescent="0.25">
      <c r="A344">
        <v>169</v>
      </c>
      <c r="C344">
        <v>308</v>
      </c>
      <c r="D344" t="s">
        <v>641</v>
      </c>
      <c r="E344" t="s">
        <v>39</v>
      </c>
      <c r="F344" t="s">
        <v>642</v>
      </c>
      <c r="G344" t="s">
        <v>643</v>
      </c>
      <c r="H344" t="str">
        <f>"00541590"</f>
        <v>00541590</v>
      </c>
      <c r="I344">
        <v>935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Y344">
        <v>0</v>
      </c>
      <c r="Z344">
        <v>965</v>
      </c>
    </row>
    <row r="345" spans="1:26" x14ac:dyDescent="0.25">
      <c r="H345" t="s">
        <v>644</v>
      </c>
    </row>
    <row r="346" spans="1:26" x14ac:dyDescent="0.25">
      <c r="A346">
        <v>170</v>
      </c>
      <c r="C346">
        <v>5896</v>
      </c>
      <c r="D346" t="s">
        <v>645</v>
      </c>
      <c r="E346" t="s">
        <v>89</v>
      </c>
      <c r="F346" t="s">
        <v>194</v>
      </c>
      <c r="G346" t="s">
        <v>646</v>
      </c>
      <c r="H346" t="str">
        <f>"201511013718"</f>
        <v>201511013718</v>
      </c>
      <c r="I346">
        <v>963.6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Y346">
        <v>0</v>
      </c>
      <c r="Z346">
        <v>963.6</v>
      </c>
    </row>
    <row r="347" spans="1:26" x14ac:dyDescent="0.25">
      <c r="H347" t="s">
        <v>647</v>
      </c>
    </row>
    <row r="348" spans="1:26" x14ac:dyDescent="0.25">
      <c r="A348">
        <v>171</v>
      </c>
      <c r="C348">
        <v>4525</v>
      </c>
      <c r="D348" t="s">
        <v>648</v>
      </c>
      <c r="E348" t="s">
        <v>94</v>
      </c>
      <c r="F348" t="s">
        <v>194</v>
      </c>
      <c r="G348" t="s">
        <v>649</v>
      </c>
      <c r="H348" t="str">
        <f>"00016062"</f>
        <v>00016062</v>
      </c>
      <c r="I348">
        <v>893.2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70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Y348">
        <v>0</v>
      </c>
      <c r="Z348">
        <v>963.2</v>
      </c>
    </row>
    <row r="349" spans="1:26" x14ac:dyDescent="0.25">
      <c r="H349" t="s">
        <v>545</v>
      </c>
    </row>
    <row r="350" spans="1:26" x14ac:dyDescent="0.25">
      <c r="A350">
        <v>172</v>
      </c>
      <c r="C350">
        <v>11514</v>
      </c>
      <c r="D350" t="s">
        <v>650</v>
      </c>
      <c r="E350" t="s">
        <v>248</v>
      </c>
      <c r="F350" t="s">
        <v>651</v>
      </c>
      <c r="G350" t="s">
        <v>652</v>
      </c>
      <c r="H350" t="str">
        <f>"00502251"</f>
        <v>00502251</v>
      </c>
      <c r="I350">
        <v>893.2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70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Y350">
        <v>0</v>
      </c>
      <c r="Z350">
        <v>963.2</v>
      </c>
    </row>
    <row r="351" spans="1:26" x14ac:dyDescent="0.25">
      <c r="H351" t="s">
        <v>653</v>
      </c>
    </row>
    <row r="352" spans="1:26" x14ac:dyDescent="0.25">
      <c r="A352">
        <v>173</v>
      </c>
      <c r="C352">
        <v>12015</v>
      </c>
      <c r="D352" t="s">
        <v>654</v>
      </c>
      <c r="E352" t="s">
        <v>56</v>
      </c>
      <c r="F352" t="s">
        <v>39</v>
      </c>
      <c r="G352" t="s">
        <v>655</v>
      </c>
      <c r="H352" t="str">
        <f>"201511023451"</f>
        <v>201511023451</v>
      </c>
      <c r="I352">
        <v>913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50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Y352">
        <v>0</v>
      </c>
      <c r="Z352">
        <v>963</v>
      </c>
    </row>
    <row r="353" spans="1:26" x14ac:dyDescent="0.25">
      <c r="H353" t="s">
        <v>656</v>
      </c>
    </row>
    <row r="354" spans="1:26" x14ac:dyDescent="0.25">
      <c r="A354">
        <v>174</v>
      </c>
      <c r="C354">
        <v>717</v>
      </c>
      <c r="D354" t="s">
        <v>657</v>
      </c>
      <c r="E354" t="s">
        <v>658</v>
      </c>
      <c r="F354" t="s">
        <v>39</v>
      </c>
      <c r="G354" t="s">
        <v>659</v>
      </c>
      <c r="H354" t="str">
        <f>"201511013705"</f>
        <v>201511013705</v>
      </c>
      <c r="I354">
        <v>931.7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Y354">
        <v>0</v>
      </c>
      <c r="Z354">
        <v>961.7</v>
      </c>
    </row>
    <row r="355" spans="1:26" x14ac:dyDescent="0.25">
      <c r="H355" t="s">
        <v>660</v>
      </c>
    </row>
    <row r="356" spans="1:26" x14ac:dyDescent="0.25">
      <c r="A356">
        <v>175</v>
      </c>
      <c r="C356">
        <v>8145</v>
      </c>
      <c r="D356" t="s">
        <v>661</v>
      </c>
      <c r="E356" t="s">
        <v>662</v>
      </c>
      <c r="F356" t="s">
        <v>663</v>
      </c>
      <c r="G356" t="s">
        <v>664</v>
      </c>
      <c r="H356" t="str">
        <f>"00028025"</f>
        <v>00028025</v>
      </c>
      <c r="I356">
        <v>761.2</v>
      </c>
      <c r="J356">
        <v>0</v>
      </c>
      <c r="K356">
        <v>0</v>
      </c>
      <c r="L356">
        <v>0</v>
      </c>
      <c r="M356">
        <v>200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Y356">
        <v>0</v>
      </c>
      <c r="Z356">
        <v>961.2</v>
      </c>
    </row>
    <row r="357" spans="1:26" x14ac:dyDescent="0.25">
      <c r="H357" t="s">
        <v>665</v>
      </c>
    </row>
    <row r="358" spans="1:26" x14ac:dyDescent="0.25">
      <c r="A358">
        <v>176</v>
      </c>
      <c r="C358">
        <v>12183</v>
      </c>
      <c r="D358" t="s">
        <v>666</v>
      </c>
      <c r="E358" t="s">
        <v>107</v>
      </c>
      <c r="F358" t="s">
        <v>138</v>
      </c>
      <c r="G358" t="s">
        <v>667</v>
      </c>
      <c r="H358" t="str">
        <f>"201511034006"</f>
        <v>201511034006</v>
      </c>
      <c r="I358">
        <v>930.6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30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Y358">
        <v>0</v>
      </c>
      <c r="Z358">
        <v>960.6</v>
      </c>
    </row>
    <row r="359" spans="1:26" x14ac:dyDescent="0.25">
      <c r="H359" t="s">
        <v>668</v>
      </c>
    </row>
    <row r="360" spans="1:26" x14ac:dyDescent="0.25">
      <c r="A360">
        <v>177</v>
      </c>
      <c r="C360">
        <v>7975</v>
      </c>
      <c r="D360" t="s">
        <v>669</v>
      </c>
      <c r="E360" t="s">
        <v>634</v>
      </c>
      <c r="F360" t="s">
        <v>127</v>
      </c>
      <c r="G360" t="s">
        <v>670</v>
      </c>
      <c r="H360" t="str">
        <f>"201511039479"</f>
        <v>201511039479</v>
      </c>
      <c r="I360">
        <v>840.4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70</v>
      </c>
      <c r="P360">
        <v>0</v>
      </c>
      <c r="Q360">
        <v>50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Y360">
        <v>0</v>
      </c>
      <c r="Z360">
        <v>960.4</v>
      </c>
    </row>
    <row r="361" spans="1:26" x14ac:dyDescent="0.25">
      <c r="H361" t="s">
        <v>671</v>
      </c>
    </row>
    <row r="362" spans="1:26" x14ac:dyDescent="0.25">
      <c r="A362">
        <v>178</v>
      </c>
      <c r="C362">
        <v>9204</v>
      </c>
      <c r="D362" t="s">
        <v>672</v>
      </c>
      <c r="E362" t="s">
        <v>673</v>
      </c>
      <c r="F362" t="s">
        <v>118</v>
      </c>
      <c r="G362" t="s">
        <v>674</v>
      </c>
      <c r="H362" t="str">
        <f>"00471084"</f>
        <v>00471084</v>
      </c>
      <c r="I362">
        <v>929.5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30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Y362">
        <v>0</v>
      </c>
      <c r="Z362">
        <v>959.5</v>
      </c>
    </row>
    <row r="363" spans="1:26" x14ac:dyDescent="0.25">
      <c r="H363" t="s">
        <v>675</v>
      </c>
    </row>
    <row r="364" spans="1:26" x14ac:dyDescent="0.25">
      <c r="A364">
        <v>179</v>
      </c>
      <c r="C364">
        <v>3385</v>
      </c>
      <c r="D364" t="s">
        <v>676</v>
      </c>
      <c r="E364" t="s">
        <v>677</v>
      </c>
      <c r="F364" t="s">
        <v>73</v>
      </c>
      <c r="G364" t="s">
        <v>678</v>
      </c>
      <c r="H364" t="str">
        <f>"201511033449"</f>
        <v>201511033449</v>
      </c>
      <c r="I364">
        <v>928.4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30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Y364">
        <v>0</v>
      </c>
      <c r="Z364">
        <v>958.4</v>
      </c>
    </row>
    <row r="365" spans="1:26" x14ac:dyDescent="0.25">
      <c r="H365" t="s">
        <v>679</v>
      </c>
    </row>
    <row r="366" spans="1:26" x14ac:dyDescent="0.25">
      <c r="A366">
        <v>180</v>
      </c>
      <c r="C366">
        <v>11438</v>
      </c>
      <c r="D366" t="s">
        <v>680</v>
      </c>
      <c r="E366" t="s">
        <v>182</v>
      </c>
      <c r="F366" t="s">
        <v>39</v>
      </c>
      <c r="G366" t="s">
        <v>681</v>
      </c>
      <c r="H366" t="str">
        <f>"00016707"</f>
        <v>00016707</v>
      </c>
      <c r="I366">
        <v>728.2</v>
      </c>
      <c r="J366">
        <v>0</v>
      </c>
      <c r="K366">
        <v>0</v>
      </c>
      <c r="L366">
        <v>0</v>
      </c>
      <c r="M366">
        <v>200</v>
      </c>
      <c r="N366">
        <v>0</v>
      </c>
      <c r="O366">
        <v>30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Y366">
        <v>0</v>
      </c>
      <c r="Z366">
        <v>958.2</v>
      </c>
    </row>
    <row r="367" spans="1:26" x14ac:dyDescent="0.25">
      <c r="H367" t="s">
        <v>682</v>
      </c>
    </row>
    <row r="368" spans="1:26" x14ac:dyDescent="0.25">
      <c r="A368">
        <v>181</v>
      </c>
      <c r="B368" t="s">
        <v>48</v>
      </c>
      <c r="C368">
        <v>930</v>
      </c>
      <c r="D368" t="s">
        <v>683</v>
      </c>
      <c r="E368" t="s">
        <v>268</v>
      </c>
      <c r="F368" t="s">
        <v>39</v>
      </c>
      <c r="G368" t="s">
        <v>684</v>
      </c>
      <c r="H368" t="str">
        <f>"00679517"</f>
        <v>00679517</v>
      </c>
      <c r="I368">
        <v>958.1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Y368">
        <v>1</v>
      </c>
      <c r="Z368">
        <v>958.1</v>
      </c>
    </row>
    <row r="369" spans="1:26" x14ac:dyDescent="0.25">
      <c r="H369" t="s">
        <v>685</v>
      </c>
    </row>
    <row r="370" spans="1:26" x14ac:dyDescent="0.25">
      <c r="A370">
        <v>182</v>
      </c>
      <c r="C370">
        <v>8613</v>
      </c>
      <c r="D370" t="s">
        <v>686</v>
      </c>
      <c r="E370" t="s">
        <v>687</v>
      </c>
      <c r="F370" t="s">
        <v>16</v>
      </c>
      <c r="G370" t="s">
        <v>688</v>
      </c>
      <c r="H370" t="str">
        <f>"201510005040"</f>
        <v>201510005040</v>
      </c>
      <c r="I370">
        <v>887.7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70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Y370">
        <v>0</v>
      </c>
      <c r="Z370">
        <v>957.7</v>
      </c>
    </row>
    <row r="371" spans="1:26" x14ac:dyDescent="0.25">
      <c r="H371" t="s">
        <v>689</v>
      </c>
    </row>
    <row r="372" spans="1:26" x14ac:dyDescent="0.25">
      <c r="A372">
        <v>183</v>
      </c>
      <c r="C372">
        <v>12640</v>
      </c>
      <c r="D372" t="s">
        <v>690</v>
      </c>
      <c r="E372" t="s">
        <v>691</v>
      </c>
      <c r="F372" t="s">
        <v>90</v>
      </c>
      <c r="G372" t="s">
        <v>692</v>
      </c>
      <c r="H372" t="str">
        <f>"00737951"</f>
        <v>00737951</v>
      </c>
      <c r="I372">
        <v>907.5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50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Y372">
        <v>0</v>
      </c>
      <c r="Z372">
        <v>957.5</v>
      </c>
    </row>
    <row r="373" spans="1:26" x14ac:dyDescent="0.25">
      <c r="H373" t="s">
        <v>693</v>
      </c>
    </row>
    <row r="374" spans="1:26" x14ac:dyDescent="0.25">
      <c r="A374">
        <v>184</v>
      </c>
      <c r="C374">
        <v>2165</v>
      </c>
      <c r="D374" t="s">
        <v>694</v>
      </c>
      <c r="E374" t="s">
        <v>695</v>
      </c>
      <c r="F374" t="s">
        <v>322</v>
      </c>
      <c r="G374" t="s">
        <v>696</v>
      </c>
      <c r="H374" t="str">
        <f>"00729476"</f>
        <v>00729476</v>
      </c>
      <c r="I374">
        <v>957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Y374">
        <v>0</v>
      </c>
      <c r="Z374">
        <v>957</v>
      </c>
    </row>
    <row r="375" spans="1:26" x14ac:dyDescent="0.25">
      <c r="H375" t="s">
        <v>697</v>
      </c>
    </row>
    <row r="376" spans="1:26" x14ac:dyDescent="0.25">
      <c r="A376">
        <v>185</v>
      </c>
      <c r="C376">
        <v>13001</v>
      </c>
      <c r="D376" t="s">
        <v>698</v>
      </c>
      <c r="E376" t="s">
        <v>67</v>
      </c>
      <c r="F376" t="s">
        <v>79</v>
      </c>
      <c r="G376" t="s">
        <v>699</v>
      </c>
      <c r="H376" t="str">
        <f>"201511032107"</f>
        <v>201511032107</v>
      </c>
      <c r="I376">
        <v>886.6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70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Y376">
        <v>0</v>
      </c>
      <c r="Z376">
        <v>956.6</v>
      </c>
    </row>
    <row r="377" spans="1:26" x14ac:dyDescent="0.25">
      <c r="H377" t="s">
        <v>700</v>
      </c>
    </row>
    <row r="378" spans="1:26" x14ac:dyDescent="0.25">
      <c r="A378">
        <v>186</v>
      </c>
      <c r="B378" t="s">
        <v>701</v>
      </c>
      <c r="C378">
        <v>12041</v>
      </c>
      <c r="D378" t="s">
        <v>702</v>
      </c>
      <c r="E378" t="s">
        <v>703</v>
      </c>
      <c r="F378" t="s">
        <v>16</v>
      </c>
      <c r="G378" t="s">
        <v>704</v>
      </c>
      <c r="H378" t="str">
        <f>"00498125"</f>
        <v>00498125</v>
      </c>
      <c r="I378">
        <v>906.4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50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Y378">
        <v>2</v>
      </c>
      <c r="Z378">
        <v>956.4</v>
      </c>
    </row>
    <row r="379" spans="1:26" x14ac:dyDescent="0.25">
      <c r="H379" t="s">
        <v>705</v>
      </c>
    </row>
    <row r="380" spans="1:26" x14ac:dyDescent="0.25">
      <c r="A380">
        <v>187</v>
      </c>
      <c r="C380">
        <v>7526</v>
      </c>
      <c r="D380" t="s">
        <v>706</v>
      </c>
      <c r="E380" t="s">
        <v>707</v>
      </c>
      <c r="F380" t="s">
        <v>73</v>
      </c>
      <c r="G380" t="s">
        <v>708</v>
      </c>
      <c r="H380" t="str">
        <f>"00484616"</f>
        <v>00484616</v>
      </c>
      <c r="I380">
        <v>885.5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70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Y380">
        <v>0</v>
      </c>
      <c r="Z380">
        <v>955.5</v>
      </c>
    </row>
    <row r="381" spans="1:26" x14ac:dyDescent="0.25">
      <c r="H381" t="s">
        <v>709</v>
      </c>
    </row>
    <row r="382" spans="1:26" x14ac:dyDescent="0.25">
      <c r="A382">
        <v>188</v>
      </c>
      <c r="C382">
        <v>7422</v>
      </c>
      <c r="D382" t="s">
        <v>710</v>
      </c>
      <c r="E382" t="s">
        <v>56</v>
      </c>
      <c r="F382" t="s">
        <v>108</v>
      </c>
      <c r="G382" t="s">
        <v>711</v>
      </c>
      <c r="H382" t="str">
        <f>"00055104"</f>
        <v>00055104</v>
      </c>
      <c r="I382">
        <v>925.1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30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Y382">
        <v>0</v>
      </c>
      <c r="Z382">
        <v>955.1</v>
      </c>
    </row>
    <row r="383" spans="1:26" x14ac:dyDescent="0.25">
      <c r="H383" t="s">
        <v>712</v>
      </c>
    </row>
    <row r="384" spans="1:26" x14ac:dyDescent="0.25">
      <c r="A384">
        <v>189</v>
      </c>
      <c r="C384">
        <v>3725</v>
      </c>
      <c r="D384" t="s">
        <v>713</v>
      </c>
      <c r="E384" t="s">
        <v>107</v>
      </c>
      <c r="F384" t="s">
        <v>51</v>
      </c>
      <c r="G384" t="s">
        <v>714</v>
      </c>
      <c r="H384" t="str">
        <f>"00019275"</f>
        <v>00019275</v>
      </c>
      <c r="I384">
        <v>894.3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30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Y384">
        <v>0</v>
      </c>
      <c r="Z384">
        <v>954.3</v>
      </c>
    </row>
    <row r="385" spans="1:26" x14ac:dyDescent="0.25">
      <c r="H385" t="s">
        <v>715</v>
      </c>
    </row>
    <row r="386" spans="1:26" x14ac:dyDescent="0.25">
      <c r="A386">
        <v>190</v>
      </c>
      <c r="C386">
        <v>10345</v>
      </c>
      <c r="D386" t="s">
        <v>716</v>
      </c>
      <c r="E386" t="s">
        <v>16</v>
      </c>
      <c r="F386" t="s">
        <v>194</v>
      </c>
      <c r="G386" t="s">
        <v>717</v>
      </c>
      <c r="H386" t="str">
        <f>"00738547"</f>
        <v>00738547</v>
      </c>
      <c r="I386">
        <v>904.2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50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Y386">
        <v>0</v>
      </c>
      <c r="Z386">
        <v>954.2</v>
      </c>
    </row>
    <row r="387" spans="1:26" x14ac:dyDescent="0.25">
      <c r="H387" t="s">
        <v>718</v>
      </c>
    </row>
    <row r="388" spans="1:26" x14ac:dyDescent="0.25">
      <c r="A388">
        <v>191</v>
      </c>
      <c r="C388">
        <v>429</v>
      </c>
      <c r="D388" t="s">
        <v>719</v>
      </c>
      <c r="E388" t="s">
        <v>56</v>
      </c>
      <c r="F388" t="s">
        <v>342</v>
      </c>
      <c r="G388" t="s">
        <v>720</v>
      </c>
      <c r="H388" t="str">
        <f>"00020670"</f>
        <v>00020670</v>
      </c>
      <c r="I388">
        <v>924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30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Y388">
        <v>0</v>
      </c>
      <c r="Z388">
        <v>954</v>
      </c>
    </row>
    <row r="389" spans="1:26" x14ac:dyDescent="0.25">
      <c r="H389" t="s">
        <v>721</v>
      </c>
    </row>
    <row r="390" spans="1:26" x14ac:dyDescent="0.25">
      <c r="A390">
        <v>192</v>
      </c>
      <c r="C390">
        <v>4344</v>
      </c>
      <c r="D390" t="s">
        <v>722</v>
      </c>
      <c r="E390" t="s">
        <v>208</v>
      </c>
      <c r="F390" t="s">
        <v>723</v>
      </c>
      <c r="G390" t="s">
        <v>724</v>
      </c>
      <c r="H390" t="str">
        <f>"00497270"</f>
        <v>00497270</v>
      </c>
      <c r="I390">
        <v>853.6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70</v>
      </c>
      <c r="P390">
        <v>0</v>
      </c>
      <c r="Q390">
        <v>0</v>
      </c>
      <c r="R390">
        <v>0</v>
      </c>
      <c r="S390">
        <v>30</v>
      </c>
      <c r="T390">
        <v>0</v>
      </c>
      <c r="U390">
        <v>0</v>
      </c>
      <c r="V390">
        <v>0</v>
      </c>
      <c r="W390">
        <v>0</v>
      </c>
      <c r="Y390">
        <v>0</v>
      </c>
      <c r="Z390">
        <v>953.6</v>
      </c>
    </row>
    <row r="391" spans="1:26" x14ac:dyDescent="0.25">
      <c r="H391" t="s">
        <v>725</v>
      </c>
    </row>
    <row r="392" spans="1:26" x14ac:dyDescent="0.25">
      <c r="A392">
        <v>193</v>
      </c>
      <c r="C392">
        <v>10471</v>
      </c>
      <c r="D392" t="s">
        <v>726</v>
      </c>
      <c r="E392" t="s">
        <v>294</v>
      </c>
      <c r="F392" t="s">
        <v>194</v>
      </c>
      <c r="G392" t="s">
        <v>727</v>
      </c>
      <c r="H392" t="str">
        <f>"00728187"</f>
        <v>00728187</v>
      </c>
      <c r="I392">
        <v>922.9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Y392">
        <v>0</v>
      </c>
      <c r="Z392">
        <v>952.9</v>
      </c>
    </row>
    <row r="393" spans="1:26" x14ac:dyDescent="0.25">
      <c r="H393" t="s">
        <v>728</v>
      </c>
    </row>
    <row r="394" spans="1:26" x14ac:dyDescent="0.25">
      <c r="A394">
        <v>194</v>
      </c>
      <c r="C394">
        <v>6365</v>
      </c>
      <c r="D394" t="s">
        <v>729</v>
      </c>
      <c r="E394" t="s">
        <v>730</v>
      </c>
      <c r="F394" t="s">
        <v>108</v>
      </c>
      <c r="G394" t="s">
        <v>731</v>
      </c>
      <c r="H394" t="str">
        <f>"201511027691"</f>
        <v>201511027691</v>
      </c>
      <c r="I394">
        <v>952.6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Y394">
        <v>0</v>
      </c>
      <c r="Z394">
        <v>952.6</v>
      </c>
    </row>
    <row r="395" spans="1:26" x14ac:dyDescent="0.25">
      <c r="H395" t="s">
        <v>732</v>
      </c>
    </row>
    <row r="396" spans="1:26" x14ac:dyDescent="0.25">
      <c r="A396">
        <v>195</v>
      </c>
      <c r="C396">
        <v>611</v>
      </c>
      <c r="D396" t="s">
        <v>733</v>
      </c>
      <c r="E396" t="s">
        <v>264</v>
      </c>
      <c r="F396" t="s">
        <v>90</v>
      </c>
      <c r="G396" t="s">
        <v>734</v>
      </c>
      <c r="H396" t="str">
        <f>"00662406"</f>
        <v>00662406</v>
      </c>
      <c r="I396">
        <v>852.5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70</v>
      </c>
      <c r="P396">
        <v>0</v>
      </c>
      <c r="Q396">
        <v>30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Y396">
        <v>0</v>
      </c>
      <c r="Z396">
        <v>952.5</v>
      </c>
    </row>
    <row r="397" spans="1:26" x14ac:dyDescent="0.25">
      <c r="H397" t="s">
        <v>735</v>
      </c>
    </row>
    <row r="398" spans="1:26" x14ac:dyDescent="0.25">
      <c r="A398">
        <v>196</v>
      </c>
      <c r="C398">
        <v>6341</v>
      </c>
      <c r="D398" t="s">
        <v>736</v>
      </c>
      <c r="E398" t="s">
        <v>737</v>
      </c>
      <c r="F398" t="s">
        <v>597</v>
      </c>
      <c r="G398" t="s">
        <v>738</v>
      </c>
      <c r="H398" t="str">
        <f>"00050138"</f>
        <v>00050138</v>
      </c>
      <c r="I398">
        <v>882.2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70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Y398">
        <v>0</v>
      </c>
      <c r="Z398">
        <v>952.2</v>
      </c>
    </row>
    <row r="399" spans="1:26" x14ac:dyDescent="0.25">
      <c r="H399" t="s">
        <v>739</v>
      </c>
    </row>
    <row r="400" spans="1:26" x14ac:dyDescent="0.25">
      <c r="A400">
        <v>197</v>
      </c>
      <c r="B400" t="s">
        <v>487</v>
      </c>
      <c r="C400">
        <v>1952</v>
      </c>
      <c r="D400" t="s">
        <v>740</v>
      </c>
      <c r="E400" t="s">
        <v>112</v>
      </c>
      <c r="F400" t="s">
        <v>73</v>
      </c>
      <c r="G400" t="s">
        <v>741</v>
      </c>
      <c r="H400" t="str">
        <f>"200805000520"</f>
        <v>200805000520</v>
      </c>
      <c r="I400">
        <v>882.2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70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Y400">
        <v>1</v>
      </c>
      <c r="Z400">
        <v>952.2</v>
      </c>
    </row>
    <row r="401" spans="1:26" x14ac:dyDescent="0.25">
      <c r="H401" t="s">
        <v>742</v>
      </c>
    </row>
    <row r="402" spans="1:26" x14ac:dyDescent="0.25">
      <c r="A402">
        <v>198</v>
      </c>
      <c r="C402">
        <v>14072</v>
      </c>
      <c r="D402" t="s">
        <v>743</v>
      </c>
      <c r="E402" t="s">
        <v>50</v>
      </c>
      <c r="F402" t="s">
        <v>79</v>
      </c>
      <c r="G402" t="s">
        <v>744</v>
      </c>
      <c r="H402" t="str">
        <f>"201511036826"</f>
        <v>201511036826</v>
      </c>
      <c r="I402">
        <v>921.8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30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Y402">
        <v>0</v>
      </c>
      <c r="Z402">
        <v>951.8</v>
      </c>
    </row>
    <row r="403" spans="1:26" x14ac:dyDescent="0.25">
      <c r="H403" t="s">
        <v>745</v>
      </c>
    </row>
    <row r="404" spans="1:26" x14ac:dyDescent="0.25">
      <c r="A404">
        <v>199</v>
      </c>
      <c r="C404">
        <v>5531</v>
      </c>
      <c r="D404" t="s">
        <v>746</v>
      </c>
      <c r="E404" t="s">
        <v>747</v>
      </c>
      <c r="F404" t="s">
        <v>430</v>
      </c>
      <c r="G404" t="s">
        <v>748</v>
      </c>
      <c r="H404" t="str">
        <f>"201511027186"</f>
        <v>201511027186</v>
      </c>
      <c r="I404">
        <v>920.7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30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Y404">
        <v>0</v>
      </c>
      <c r="Z404">
        <v>950.7</v>
      </c>
    </row>
    <row r="405" spans="1:26" x14ac:dyDescent="0.25">
      <c r="H405" t="s">
        <v>749</v>
      </c>
    </row>
    <row r="406" spans="1:26" x14ac:dyDescent="0.25">
      <c r="A406">
        <v>200</v>
      </c>
      <c r="C406">
        <v>1030</v>
      </c>
      <c r="D406" t="s">
        <v>750</v>
      </c>
      <c r="E406" t="s">
        <v>751</v>
      </c>
      <c r="F406" t="s">
        <v>73</v>
      </c>
      <c r="G406" t="s">
        <v>752</v>
      </c>
      <c r="H406" t="str">
        <f>"201511004411"</f>
        <v>201511004411</v>
      </c>
      <c r="I406">
        <v>920.7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30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Y406">
        <v>0</v>
      </c>
      <c r="Z406">
        <v>950.7</v>
      </c>
    </row>
    <row r="407" spans="1:26" x14ac:dyDescent="0.25">
      <c r="H407" t="s">
        <v>753</v>
      </c>
    </row>
    <row r="408" spans="1:26" x14ac:dyDescent="0.25">
      <c r="A408">
        <v>201</v>
      </c>
      <c r="C408">
        <v>5195</v>
      </c>
      <c r="D408" t="s">
        <v>754</v>
      </c>
      <c r="E408" t="s">
        <v>755</v>
      </c>
      <c r="F408" t="s">
        <v>51</v>
      </c>
      <c r="G408" t="s">
        <v>756</v>
      </c>
      <c r="H408" t="str">
        <f>"201511041534"</f>
        <v>201511041534</v>
      </c>
      <c r="I408">
        <v>720.5</v>
      </c>
      <c r="J408">
        <v>0</v>
      </c>
      <c r="K408">
        <v>0</v>
      </c>
      <c r="L408">
        <v>0</v>
      </c>
      <c r="M408">
        <v>200</v>
      </c>
      <c r="N408">
        <v>0</v>
      </c>
      <c r="O408">
        <v>30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Y408">
        <v>0</v>
      </c>
      <c r="Z408">
        <v>950.5</v>
      </c>
    </row>
    <row r="409" spans="1:26" x14ac:dyDescent="0.25">
      <c r="H409" t="s">
        <v>757</v>
      </c>
    </row>
    <row r="410" spans="1:26" x14ac:dyDescent="0.25">
      <c r="A410">
        <v>202</v>
      </c>
      <c r="C410">
        <v>1669</v>
      </c>
      <c r="D410" t="s">
        <v>758</v>
      </c>
      <c r="E410" t="s">
        <v>89</v>
      </c>
      <c r="F410" t="s">
        <v>39</v>
      </c>
      <c r="G410" t="s">
        <v>759</v>
      </c>
      <c r="H410" t="str">
        <f>"201503000571"</f>
        <v>201503000571</v>
      </c>
      <c r="I410">
        <v>850.3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70</v>
      </c>
      <c r="P410">
        <v>0</v>
      </c>
      <c r="Q410">
        <v>0</v>
      </c>
      <c r="R410">
        <v>0</v>
      </c>
      <c r="S410">
        <v>30</v>
      </c>
      <c r="T410">
        <v>0</v>
      </c>
      <c r="U410">
        <v>0</v>
      </c>
      <c r="V410">
        <v>0</v>
      </c>
      <c r="W410">
        <v>0</v>
      </c>
      <c r="Y410">
        <v>0</v>
      </c>
      <c r="Z410">
        <v>950.3</v>
      </c>
    </row>
    <row r="411" spans="1:26" x14ac:dyDescent="0.25">
      <c r="H411" t="s">
        <v>760</v>
      </c>
    </row>
    <row r="412" spans="1:26" x14ac:dyDescent="0.25">
      <c r="A412">
        <v>203</v>
      </c>
      <c r="C412">
        <v>7036</v>
      </c>
      <c r="D412" t="s">
        <v>761</v>
      </c>
      <c r="E412" t="s">
        <v>112</v>
      </c>
      <c r="F412" t="s">
        <v>298</v>
      </c>
      <c r="G412" t="s">
        <v>762</v>
      </c>
      <c r="H412" t="str">
        <f>"201511041121"</f>
        <v>201511041121</v>
      </c>
      <c r="I412">
        <v>750.2</v>
      </c>
      <c r="J412">
        <v>0</v>
      </c>
      <c r="K412">
        <v>0</v>
      </c>
      <c r="L412">
        <v>0</v>
      </c>
      <c r="M412">
        <v>200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Y412">
        <v>0</v>
      </c>
      <c r="Z412">
        <v>950.2</v>
      </c>
    </row>
    <row r="413" spans="1:26" x14ac:dyDescent="0.25">
      <c r="H413" t="s">
        <v>763</v>
      </c>
    </row>
    <row r="414" spans="1:26" x14ac:dyDescent="0.25">
      <c r="A414">
        <v>204</v>
      </c>
      <c r="C414">
        <v>14674</v>
      </c>
      <c r="D414" t="s">
        <v>764</v>
      </c>
      <c r="E414" t="s">
        <v>50</v>
      </c>
      <c r="F414" t="s">
        <v>16</v>
      </c>
      <c r="G414" t="s">
        <v>765</v>
      </c>
      <c r="H414" t="str">
        <f>"201511025277"</f>
        <v>201511025277</v>
      </c>
      <c r="I414">
        <v>888.8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30</v>
      </c>
      <c r="P414">
        <v>0</v>
      </c>
      <c r="Q414">
        <v>30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Y414">
        <v>0</v>
      </c>
      <c r="Z414">
        <v>948.8</v>
      </c>
    </row>
    <row r="415" spans="1:26" x14ac:dyDescent="0.25">
      <c r="H415" t="s">
        <v>766</v>
      </c>
    </row>
    <row r="416" spans="1:26" x14ac:dyDescent="0.25">
      <c r="A416">
        <v>205</v>
      </c>
      <c r="C416">
        <v>7254</v>
      </c>
      <c r="D416" t="s">
        <v>767</v>
      </c>
      <c r="E416" t="s">
        <v>235</v>
      </c>
      <c r="F416" t="s">
        <v>16</v>
      </c>
      <c r="G416" t="s">
        <v>768</v>
      </c>
      <c r="H416" t="str">
        <f>"201104000085"</f>
        <v>201104000085</v>
      </c>
      <c r="I416">
        <v>918.5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Y416">
        <v>0</v>
      </c>
      <c r="Z416">
        <v>948.5</v>
      </c>
    </row>
    <row r="417" spans="1:26" x14ac:dyDescent="0.25">
      <c r="H417" t="s">
        <v>769</v>
      </c>
    </row>
    <row r="418" spans="1:26" x14ac:dyDescent="0.25">
      <c r="A418">
        <v>206</v>
      </c>
      <c r="C418">
        <v>4505</v>
      </c>
      <c r="D418" t="s">
        <v>770</v>
      </c>
      <c r="E418" t="s">
        <v>248</v>
      </c>
      <c r="F418" t="s">
        <v>39</v>
      </c>
      <c r="G418" t="s">
        <v>771</v>
      </c>
      <c r="H418" t="str">
        <f>"201409004362"</f>
        <v>201409004362</v>
      </c>
      <c r="I418">
        <v>698.5</v>
      </c>
      <c r="J418">
        <v>0</v>
      </c>
      <c r="K418">
        <v>0</v>
      </c>
      <c r="L418">
        <v>0</v>
      </c>
      <c r="M418">
        <v>200</v>
      </c>
      <c r="N418">
        <v>0</v>
      </c>
      <c r="O418">
        <v>50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Y418">
        <v>0</v>
      </c>
      <c r="Z418">
        <v>948.5</v>
      </c>
    </row>
    <row r="419" spans="1:26" x14ac:dyDescent="0.25">
      <c r="H419" t="s">
        <v>772</v>
      </c>
    </row>
    <row r="420" spans="1:26" x14ac:dyDescent="0.25">
      <c r="A420">
        <v>207</v>
      </c>
      <c r="C420">
        <v>14647</v>
      </c>
      <c r="D420" t="s">
        <v>773</v>
      </c>
      <c r="E420" t="s">
        <v>127</v>
      </c>
      <c r="F420" t="s">
        <v>51</v>
      </c>
      <c r="G420" t="s">
        <v>774</v>
      </c>
      <c r="H420" t="str">
        <f>"201511041470"</f>
        <v>201511041470</v>
      </c>
      <c r="I420">
        <v>848.1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70</v>
      </c>
      <c r="P420">
        <v>30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Y420">
        <v>0</v>
      </c>
      <c r="Z420">
        <v>948.1</v>
      </c>
    </row>
    <row r="421" spans="1:26" x14ac:dyDescent="0.25">
      <c r="H421" t="s">
        <v>775</v>
      </c>
    </row>
    <row r="422" spans="1:26" x14ac:dyDescent="0.25">
      <c r="A422">
        <v>208</v>
      </c>
      <c r="C422">
        <v>1777</v>
      </c>
      <c r="D422" t="s">
        <v>776</v>
      </c>
      <c r="E422" t="s">
        <v>777</v>
      </c>
      <c r="F422" t="s">
        <v>39</v>
      </c>
      <c r="G422" t="s">
        <v>778</v>
      </c>
      <c r="H422" t="str">
        <f>"201511022126"</f>
        <v>201511022126</v>
      </c>
      <c r="I422">
        <v>897.6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50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Y422">
        <v>0</v>
      </c>
      <c r="Z422">
        <v>947.6</v>
      </c>
    </row>
    <row r="423" spans="1:26" x14ac:dyDescent="0.25">
      <c r="H423" t="s">
        <v>779</v>
      </c>
    </row>
    <row r="424" spans="1:26" x14ac:dyDescent="0.25">
      <c r="A424">
        <v>209</v>
      </c>
      <c r="C424">
        <v>4897</v>
      </c>
      <c r="D424" t="s">
        <v>780</v>
      </c>
      <c r="E424" t="s">
        <v>127</v>
      </c>
      <c r="F424" t="s">
        <v>103</v>
      </c>
      <c r="G424" t="s">
        <v>781</v>
      </c>
      <c r="H424" t="str">
        <f>"00500116"</f>
        <v>00500116</v>
      </c>
      <c r="I424">
        <v>917.4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30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Y424">
        <v>0</v>
      </c>
      <c r="Z424">
        <v>947.4</v>
      </c>
    </row>
    <row r="425" spans="1:26" x14ac:dyDescent="0.25">
      <c r="H425" t="s">
        <v>782</v>
      </c>
    </row>
    <row r="426" spans="1:26" x14ac:dyDescent="0.25">
      <c r="A426">
        <v>210</v>
      </c>
      <c r="B426" t="s">
        <v>783</v>
      </c>
      <c r="C426">
        <v>15959</v>
      </c>
      <c r="D426" t="s">
        <v>784</v>
      </c>
      <c r="E426" t="s">
        <v>164</v>
      </c>
      <c r="F426" t="s">
        <v>16</v>
      </c>
      <c r="G426" t="s">
        <v>785</v>
      </c>
      <c r="H426" t="str">
        <f>"201511036836"</f>
        <v>201511036836</v>
      </c>
      <c r="I426">
        <v>917.4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Y426">
        <v>2</v>
      </c>
      <c r="Z426">
        <v>947.4</v>
      </c>
    </row>
    <row r="427" spans="1:26" x14ac:dyDescent="0.25">
      <c r="H427" t="s">
        <v>786</v>
      </c>
    </row>
    <row r="428" spans="1:26" x14ac:dyDescent="0.25">
      <c r="A428">
        <v>211</v>
      </c>
      <c r="C428">
        <v>9933</v>
      </c>
      <c r="D428" t="s">
        <v>142</v>
      </c>
      <c r="E428" t="s">
        <v>787</v>
      </c>
      <c r="F428" t="s">
        <v>788</v>
      </c>
      <c r="G428" t="s">
        <v>789</v>
      </c>
      <c r="H428" t="str">
        <f>"201511007222"</f>
        <v>201511007222</v>
      </c>
      <c r="I428">
        <v>947.1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Y428">
        <v>0</v>
      </c>
      <c r="Z428">
        <v>947.1</v>
      </c>
    </row>
    <row r="429" spans="1:26" x14ac:dyDescent="0.25">
      <c r="H429" t="s">
        <v>790</v>
      </c>
    </row>
    <row r="430" spans="1:26" x14ac:dyDescent="0.25">
      <c r="A430">
        <v>212</v>
      </c>
      <c r="C430">
        <v>13536</v>
      </c>
      <c r="D430" t="s">
        <v>791</v>
      </c>
      <c r="E430" t="s">
        <v>406</v>
      </c>
      <c r="F430" t="s">
        <v>90</v>
      </c>
      <c r="G430" t="s">
        <v>792</v>
      </c>
      <c r="H430" t="str">
        <f>"00030969"</f>
        <v>00030969</v>
      </c>
      <c r="I430">
        <v>947.1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Y430">
        <v>0</v>
      </c>
      <c r="Z430">
        <v>947.1</v>
      </c>
    </row>
    <row r="431" spans="1:26" x14ac:dyDescent="0.25">
      <c r="H431" t="s">
        <v>793</v>
      </c>
    </row>
    <row r="432" spans="1:26" x14ac:dyDescent="0.25">
      <c r="A432">
        <v>213</v>
      </c>
      <c r="C432">
        <v>6790</v>
      </c>
      <c r="D432" t="s">
        <v>794</v>
      </c>
      <c r="E432" t="s">
        <v>795</v>
      </c>
      <c r="F432" t="s">
        <v>16</v>
      </c>
      <c r="G432" t="s">
        <v>796</v>
      </c>
      <c r="H432" t="str">
        <f>"201512001446"</f>
        <v>201512001446</v>
      </c>
      <c r="I432">
        <v>916.3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30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Y432">
        <v>0</v>
      </c>
      <c r="Z432">
        <v>946.3</v>
      </c>
    </row>
    <row r="433" spans="1:26" x14ac:dyDescent="0.25">
      <c r="H433" t="s">
        <v>797</v>
      </c>
    </row>
    <row r="434" spans="1:26" x14ac:dyDescent="0.25">
      <c r="A434">
        <v>214</v>
      </c>
      <c r="C434">
        <v>15421</v>
      </c>
      <c r="D434" t="s">
        <v>798</v>
      </c>
      <c r="E434" t="s">
        <v>89</v>
      </c>
      <c r="F434" t="s">
        <v>194</v>
      </c>
      <c r="G434" t="s">
        <v>799</v>
      </c>
      <c r="H434" t="str">
        <f>"00445325"</f>
        <v>00445325</v>
      </c>
      <c r="I434">
        <v>874.5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70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Y434">
        <v>0</v>
      </c>
      <c r="Z434">
        <v>944.5</v>
      </c>
    </row>
    <row r="435" spans="1:26" x14ac:dyDescent="0.25">
      <c r="H435" t="s">
        <v>800</v>
      </c>
    </row>
    <row r="436" spans="1:26" x14ac:dyDescent="0.25">
      <c r="A436">
        <v>215</v>
      </c>
      <c r="C436">
        <v>6324</v>
      </c>
      <c r="D436" t="s">
        <v>801</v>
      </c>
      <c r="E436" t="s">
        <v>67</v>
      </c>
      <c r="F436" t="s">
        <v>194</v>
      </c>
      <c r="G436" t="s">
        <v>802</v>
      </c>
      <c r="H436" t="str">
        <f>"201511026420"</f>
        <v>201511026420</v>
      </c>
      <c r="I436">
        <v>914.1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30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Y436">
        <v>0</v>
      </c>
      <c r="Z436">
        <v>944.1</v>
      </c>
    </row>
    <row r="437" spans="1:26" x14ac:dyDescent="0.25">
      <c r="H437" t="s">
        <v>803</v>
      </c>
    </row>
    <row r="438" spans="1:26" x14ac:dyDescent="0.25">
      <c r="A438">
        <v>216</v>
      </c>
      <c r="C438">
        <v>14885</v>
      </c>
      <c r="D438" t="s">
        <v>804</v>
      </c>
      <c r="E438" t="s">
        <v>50</v>
      </c>
      <c r="F438" t="s">
        <v>194</v>
      </c>
      <c r="G438" t="s">
        <v>805</v>
      </c>
      <c r="H438" t="str">
        <f>"00557186"</f>
        <v>00557186</v>
      </c>
      <c r="I438">
        <v>943.8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Y438">
        <v>0</v>
      </c>
      <c r="Z438">
        <v>943.8</v>
      </c>
    </row>
    <row r="439" spans="1:26" x14ac:dyDescent="0.25">
      <c r="H439" t="s">
        <v>806</v>
      </c>
    </row>
    <row r="440" spans="1:26" x14ac:dyDescent="0.25">
      <c r="A440">
        <v>217</v>
      </c>
      <c r="C440">
        <v>1205</v>
      </c>
      <c r="D440" t="s">
        <v>807</v>
      </c>
      <c r="E440" t="s">
        <v>248</v>
      </c>
      <c r="F440" t="s">
        <v>808</v>
      </c>
      <c r="G440" t="s">
        <v>809</v>
      </c>
      <c r="H440" t="str">
        <f>"00228640"</f>
        <v>00228640</v>
      </c>
      <c r="I440">
        <v>843.7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70</v>
      </c>
      <c r="P440">
        <v>0</v>
      </c>
      <c r="Q440">
        <v>0</v>
      </c>
      <c r="R440">
        <v>0</v>
      </c>
      <c r="S440">
        <v>0</v>
      </c>
      <c r="T440">
        <v>30</v>
      </c>
      <c r="U440">
        <v>0</v>
      </c>
      <c r="V440">
        <v>0</v>
      </c>
      <c r="W440">
        <v>0</v>
      </c>
      <c r="Y440">
        <v>0</v>
      </c>
      <c r="Z440">
        <v>943.7</v>
      </c>
    </row>
    <row r="441" spans="1:26" x14ac:dyDescent="0.25">
      <c r="H441" t="s">
        <v>810</v>
      </c>
    </row>
    <row r="442" spans="1:26" x14ac:dyDescent="0.25">
      <c r="A442">
        <v>218</v>
      </c>
      <c r="C442">
        <v>19</v>
      </c>
      <c r="D442" t="s">
        <v>811</v>
      </c>
      <c r="E442" t="s">
        <v>812</v>
      </c>
      <c r="F442" t="s">
        <v>39</v>
      </c>
      <c r="G442" t="s">
        <v>813</v>
      </c>
      <c r="H442" t="str">
        <f>"201511034070"</f>
        <v>201511034070</v>
      </c>
      <c r="I442">
        <v>873.4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70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Y442">
        <v>0</v>
      </c>
      <c r="Z442">
        <v>943.4</v>
      </c>
    </row>
    <row r="443" spans="1:26" x14ac:dyDescent="0.25">
      <c r="H443" t="s">
        <v>814</v>
      </c>
    </row>
    <row r="444" spans="1:26" x14ac:dyDescent="0.25">
      <c r="A444">
        <v>219</v>
      </c>
      <c r="B444" t="s">
        <v>815</v>
      </c>
      <c r="C444">
        <v>4869</v>
      </c>
      <c r="D444" t="s">
        <v>816</v>
      </c>
      <c r="E444" t="s">
        <v>817</v>
      </c>
      <c r="F444" t="s">
        <v>194</v>
      </c>
      <c r="G444" t="s">
        <v>818</v>
      </c>
      <c r="H444" t="str">
        <f>"201511032621"</f>
        <v>201511032621</v>
      </c>
      <c r="I444">
        <v>873.4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70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Y444">
        <v>0</v>
      </c>
      <c r="Z444">
        <v>943.4</v>
      </c>
    </row>
    <row r="445" spans="1:26" x14ac:dyDescent="0.25">
      <c r="H445" t="s">
        <v>819</v>
      </c>
    </row>
    <row r="446" spans="1:26" x14ac:dyDescent="0.25">
      <c r="A446">
        <v>220</v>
      </c>
      <c r="C446">
        <v>16776</v>
      </c>
      <c r="D446" t="s">
        <v>820</v>
      </c>
      <c r="E446" t="s">
        <v>821</v>
      </c>
      <c r="F446" t="s">
        <v>73</v>
      </c>
      <c r="G446" t="s">
        <v>822</v>
      </c>
      <c r="H446" t="str">
        <f>"00739062"</f>
        <v>00739062</v>
      </c>
      <c r="I446">
        <v>913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30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Y446">
        <v>0</v>
      </c>
      <c r="Z446">
        <v>943</v>
      </c>
    </row>
    <row r="447" spans="1:26" x14ac:dyDescent="0.25">
      <c r="H447" t="s">
        <v>823</v>
      </c>
    </row>
    <row r="448" spans="1:26" x14ac:dyDescent="0.25">
      <c r="A448">
        <v>221</v>
      </c>
      <c r="C448">
        <v>9515</v>
      </c>
      <c r="D448" t="s">
        <v>824</v>
      </c>
      <c r="E448" t="s">
        <v>127</v>
      </c>
      <c r="F448" t="s">
        <v>108</v>
      </c>
      <c r="G448" t="s">
        <v>825</v>
      </c>
      <c r="H448" t="str">
        <f>"201511039962"</f>
        <v>201511039962</v>
      </c>
      <c r="I448">
        <v>911.9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Y448">
        <v>0</v>
      </c>
      <c r="Z448">
        <v>941.9</v>
      </c>
    </row>
    <row r="449" spans="1:26" x14ac:dyDescent="0.25">
      <c r="H449" t="s">
        <v>826</v>
      </c>
    </row>
    <row r="450" spans="1:26" x14ac:dyDescent="0.25">
      <c r="A450">
        <v>222</v>
      </c>
      <c r="C450">
        <v>10200</v>
      </c>
      <c r="D450" t="s">
        <v>827</v>
      </c>
      <c r="E450" t="s">
        <v>828</v>
      </c>
      <c r="F450" t="s">
        <v>829</v>
      </c>
      <c r="G450" t="s">
        <v>830</v>
      </c>
      <c r="H450" t="str">
        <f>"00737377"</f>
        <v>00737377</v>
      </c>
      <c r="I450">
        <v>911.9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30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Y450">
        <v>0</v>
      </c>
      <c r="Z450">
        <v>941.9</v>
      </c>
    </row>
    <row r="451" spans="1:26" x14ac:dyDescent="0.25">
      <c r="H451" t="s">
        <v>831</v>
      </c>
    </row>
    <row r="452" spans="1:26" x14ac:dyDescent="0.25">
      <c r="A452">
        <v>223</v>
      </c>
      <c r="C452">
        <v>12160</v>
      </c>
      <c r="D452" t="s">
        <v>832</v>
      </c>
      <c r="E452" t="s">
        <v>256</v>
      </c>
      <c r="F452" t="s">
        <v>723</v>
      </c>
      <c r="G452" t="s">
        <v>833</v>
      </c>
      <c r="H452" t="str">
        <f>"201511017208"</f>
        <v>201511017208</v>
      </c>
      <c r="I452">
        <v>941.6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Y452">
        <v>0</v>
      </c>
      <c r="Z452">
        <v>941.6</v>
      </c>
    </row>
    <row r="453" spans="1:26" x14ac:dyDescent="0.25">
      <c r="H453" t="s">
        <v>834</v>
      </c>
    </row>
    <row r="454" spans="1:26" x14ac:dyDescent="0.25">
      <c r="A454">
        <v>224</v>
      </c>
      <c r="C454">
        <v>15635</v>
      </c>
      <c r="D454" t="s">
        <v>835</v>
      </c>
      <c r="E454" t="s">
        <v>38</v>
      </c>
      <c r="F454" t="s">
        <v>194</v>
      </c>
      <c r="G454" t="s">
        <v>836</v>
      </c>
      <c r="H454" t="str">
        <f>"201511035473"</f>
        <v>201511035473</v>
      </c>
      <c r="I454">
        <v>871.2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70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Y454">
        <v>0</v>
      </c>
      <c r="Z454">
        <v>941.2</v>
      </c>
    </row>
    <row r="455" spans="1:26" x14ac:dyDescent="0.25">
      <c r="H455" t="s">
        <v>837</v>
      </c>
    </row>
    <row r="456" spans="1:26" x14ac:dyDescent="0.25">
      <c r="A456">
        <v>225</v>
      </c>
      <c r="C456">
        <v>14064</v>
      </c>
      <c r="D456" t="s">
        <v>838</v>
      </c>
      <c r="E456" t="s">
        <v>634</v>
      </c>
      <c r="F456" t="s">
        <v>51</v>
      </c>
      <c r="G456" t="s">
        <v>839</v>
      </c>
      <c r="H456" t="str">
        <f>"201511013449"</f>
        <v>201511013449</v>
      </c>
      <c r="I456">
        <v>910.8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30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Y456">
        <v>0</v>
      </c>
      <c r="Z456">
        <v>940.8</v>
      </c>
    </row>
    <row r="457" spans="1:26" x14ac:dyDescent="0.25">
      <c r="H457" t="s">
        <v>840</v>
      </c>
    </row>
    <row r="458" spans="1:26" x14ac:dyDescent="0.25">
      <c r="A458">
        <v>226</v>
      </c>
      <c r="C458">
        <v>9559</v>
      </c>
      <c r="D458" t="s">
        <v>841</v>
      </c>
      <c r="E458" t="s">
        <v>842</v>
      </c>
      <c r="F458" t="s">
        <v>84</v>
      </c>
      <c r="G458" t="s">
        <v>843</v>
      </c>
      <c r="H458" t="str">
        <f>"201502000210"</f>
        <v>201502000210</v>
      </c>
      <c r="I458">
        <v>740.3</v>
      </c>
      <c r="J458">
        <v>0</v>
      </c>
      <c r="K458">
        <v>0</v>
      </c>
      <c r="L458">
        <v>0</v>
      </c>
      <c r="M458">
        <v>200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Y458">
        <v>0</v>
      </c>
      <c r="Z458">
        <v>940.3</v>
      </c>
    </row>
    <row r="459" spans="1:26" x14ac:dyDescent="0.25">
      <c r="H459" t="s">
        <v>844</v>
      </c>
    </row>
    <row r="460" spans="1:26" x14ac:dyDescent="0.25">
      <c r="A460">
        <v>227</v>
      </c>
      <c r="C460">
        <v>6273</v>
      </c>
      <c r="D460" t="s">
        <v>845</v>
      </c>
      <c r="E460" t="s">
        <v>846</v>
      </c>
      <c r="F460" t="s">
        <v>847</v>
      </c>
      <c r="G460" t="s">
        <v>848</v>
      </c>
      <c r="H460" t="str">
        <f>"201511039122"</f>
        <v>201511039122</v>
      </c>
      <c r="I460">
        <v>887.7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50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Y460">
        <v>0</v>
      </c>
      <c r="Z460">
        <v>937.7</v>
      </c>
    </row>
    <row r="461" spans="1:26" x14ac:dyDescent="0.25">
      <c r="H461" t="s">
        <v>849</v>
      </c>
    </row>
    <row r="462" spans="1:26" x14ac:dyDescent="0.25">
      <c r="A462">
        <v>228</v>
      </c>
      <c r="C462">
        <v>12704</v>
      </c>
      <c r="D462" t="s">
        <v>850</v>
      </c>
      <c r="E462" t="s">
        <v>98</v>
      </c>
      <c r="F462" t="s">
        <v>302</v>
      </c>
      <c r="G462" t="s">
        <v>851</v>
      </c>
      <c r="H462" t="str">
        <f>"201511030949"</f>
        <v>201511030949</v>
      </c>
      <c r="I462">
        <v>837.1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50</v>
      </c>
      <c r="P462">
        <v>50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Y462">
        <v>0</v>
      </c>
      <c r="Z462">
        <v>937.1</v>
      </c>
    </row>
    <row r="463" spans="1:26" x14ac:dyDescent="0.25">
      <c r="H463" t="s">
        <v>852</v>
      </c>
    </row>
    <row r="464" spans="1:26" x14ac:dyDescent="0.25">
      <c r="A464">
        <v>229</v>
      </c>
      <c r="C464">
        <v>292</v>
      </c>
      <c r="D464" t="s">
        <v>853</v>
      </c>
      <c r="E464" t="s">
        <v>854</v>
      </c>
      <c r="F464" t="s">
        <v>103</v>
      </c>
      <c r="G464" t="s">
        <v>855</v>
      </c>
      <c r="H464" t="str">
        <f>"201511015103"</f>
        <v>201511015103</v>
      </c>
      <c r="I464">
        <v>905.3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30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Y464">
        <v>0</v>
      </c>
      <c r="Z464">
        <v>935.3</v>
      </c>
    </row>
    <row r="465" spans="1:26" x14ac:dyDescent="0.25">
      <c r="H465" t="s">
        <v>856</v>
      </c>
    </row>
    <row r="466" spans="1:26" x14ac:dyDescent="0.25">
      <c r="A466">
        <v>230</v>
      </c>
      <c r="C466">
        <v>8284</v>
      </c>
      <c r="D466" t="s">
        <v>857</v>
      </c>
      <c r="E466" t="s">
        <v>56</v>
      </c>
      <c r="F466" t="s">
        <v>39</v>
      </c>
      <c r="G466" t="s">
        <v>858</v>
      </c>
      <c r="H466" t="str">
        <f>"201511027778"</f>
        <v>201511027778</v>
      </c>
      <c r="I466">
        <v>883.3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50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Y466">
        <v>0</v>
      </c>
      <c r="Z466">
        <v>933.3</v>
      </c>
    </row>
    <row r="467" spans="1:26" x14ac:dyDescent="0.25">
      <c r="H467" t="s">
        <v>859</v>
      </c>
    </row>
    <row r="468" spans="1:26" x14ac:dyDescent="0.25">
      <c r="A468">
        <v>231</v>
      </c>
      <c r="C468">
        <v>1460</v>
      </c>
      <c r="D468" t="s">
        <v>860</v>
      </c>
      <c r="E468" t="s">
        <v>50</v>
      </c>
      <c r="F468" t="s">
        <v>194</v>
      </c>
      <c r="G468" t="s">
        <v>861</v>
      </c>
      <c r="H468" t="str">
        <f>"00049235"</f>
        <v>00049235</v>
      </c>
      <c r="I468">
        <v>903.1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30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Y468">
        <v>0</v>
      </c>
      <c r="Z468">
        <v>933.1</v>
      </c>
    </row>
    <row r="469" spans="1:26" x14ac:dyDescent="0.25">
      <c r="H469" t="s">
        <v>862</v>
      </c>
    </row>
    <row r="470" spans="1:26" x14ac:dyDescent="0.25">
      <c r="A470">
        <v>232</v>
      </c>
      <c r="C470">
        <v>13780</v>
      </c>
      <c r="D470" t="s">
        <v>863</v>
      </c>
      <c r="E470" t="s">
        <v>821</v>
      </c>
      <c r="F470" t="s">
        <v>122</v>
      </c>
      <c r="G470" t="s">
        <v>864</v>
      </c>
      <c r="H470" t="str">
        <f>"00069702"</f>
        <v>00069702</v>
      </c>
      <c r="I470">
        <v>861.3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70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Y470">
        <v>0</v>
      </c>
      <c r="Z470">
        <v>931.3</v>
      </c>
    </row>
    <row r="471" spans="1:26" x14ac:dyDescent="0.25">
      <c r="H471" t="s">
        <v>865</v>
      </c>
    </row>
    <row r="472" spans="1:26" x14ac:dyDescent="0.25">
      <c r="A472">
        <v>233</v>
      </c>
      <c r="B472" t="s">
        <v>866</v>
      </c>
      <c r="C472">
        <v>7841</v>
      </c>
      <c r="D472" t="s">
        <v>867</v>
      </c>
      <c r="E472" t="s">
        <v>94</v>
      </c>
      <c r="F472" t="s">
        <v>138</v>
      </c>
      <c r="G472" t="s">
        <v>868</v>
      </c>
      <c r="H472" t="str">
        <f>"00489078"</f>
        <v>00489078</v>
      </c>
      <c r="I472">
        <v>930.6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Y472">
        <v>1</v>
      </c>
      <c r="Z472">
        <v>930.6</v>
      </c>
    </row>
    <row r="473" spans="1:26" x14ac:dyDescent="0.25">
      <c r="H473" t="s">
        <v>869</v>
      </c>
    </row>
    <row r="474" spans="1:26" x14ac:dyDescent="0.25">
      <c r="A474">
        <v>234</v>
      </c>
      <c r="C474">
        <v>8232</v>
      </c>
      <c r="D474" t="s">
        <v>870</v>
      </c>
      <c r="E474" t="s">
        <v>871</v>
      </c>
      <c r="F474" t="s">
        <v>193</v>
      </c>
      <c r="G474" t="s">
        <v>872</v>
      </c>
      <c r="H474" t="str">
        <f>"201511010546"</f>
        <v>201511010546</v>
      </c>
      <c r="I474">
        <v>929.5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Y474">
        <v>0</v>
      </c>
      <c r="Z474">
        <v>929.5</v>
      </c>
    </row>
    <row r="475" spans="1:26" x14ac:dyDescent="0.25">
      <c r="H475" t="s">
        <v>873</v>
      </c>
    </row>
    <row r="476" spans="1:26" x14ac:dyDescent="0.25">
      <c r="A476">
        <v>235</v>
      </c>
      <c r="C476">
        <v>12223</v>
      </c>
      <c r="D476" t="s">
        <v>874</v>
      </c>
      <c r="E476" t="s">
        <v>256</v>
      </c>
      <c r="F476" t="s">
        <v>199</v>
      </c>
      <c r="G476" t="s">
        <v>875</v>
      </c>
      <c r="H476" t="str">
        <f>"201511008163"</f>
        <v>201511008163</v>
      </c>
      <c r="I476">
        <v>898.7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Y476">
        <v>0</v>
      </c>
      <c r="Z476">
        <v>928.7</v>
      </c>
    </row>
    <row r="477" spans="1:26" x14ac:dyDescent="0.25">
      <c r="H477" t="s">
        <v>876</v>
      </c>
    </row>
    <row r="478" spans="1:26" x14ac:dyDescent="0.25">
      <c r="A478">
        <v>236</v>
      </c>
      <c r="C478">
        <v>9181</v>
      </c>
      <c r="D478" t="s">
        <v>877</v>
      </c>
      <c r="E478" t="s">
        <v>878</v>
      </c>
      <c r="F478" t="s">
        <v>193</v>
      </c>
      <c r="G478" t="s">
        <v>879</v>
      </c>
      <c r="H478" t="str">
        <f>"201511026544"</f>
        <v>201511026544</v>
      </c>
      <c r="I478">
        <v>898.7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30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Y478">
        <v>0</v>
      </c>
      <c r="Z478">
        <v>928.7</v>
      </c>
    </row>
    <row r="479" spans="1:26" x14ac:dyDescent="0.25">
      <c r="H479" t="s">
        <v>880</v>
      </c>
    </row>
    <row r="480" spans="1:26" x14ac:dyDescent="0.25">
      <c r="A480">
        <v>237</v>
      </c>
      <c r="C480">
        <v>7305</v>
      </c>
      <c r="D480" t="s">
        <v>881</v>
      </c>
      <c r="E480" t="s">
        <v>73</v>
      </c>
      <c r="F480" t="s">
        <v>882</v>
      </c>
      <c r="G480" t="s">
        <v>883</v>
      </c>
      <c r="H480" t="str">
        <f>"00468813"</f>
        <v>00468813</v>
      </c>
      <c r="I480">
        <v>858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70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Y480">
        <v>0</v>
      </c>
      <c r="Z480">
        <v>928</v>
      </c>
    </row>
    <row r="481" spans="1:26" x14ac:dyDescent="0.25">
      <c r="H481" t="s">
        <v>884</v>
      </c>
    </row>
    <row r="482" spans="1:26" x14ac:dyDescent="0.25">
      <c r="A482">
        <v>238</v>
      </c>
      <c r="C482">
        <v>14012</v>
      </c>
      <c r="D482" t="s">
        <v>885</v>
      </c>
      <c r="E482" t="s">
        <v>178</v>
      </c>
      <c r="F482" t="s">
        <v>354</v>
      </c>
      <c r="G482" t="s">
        <v>886</v>
      </c>
      <c r="H482" t="str">
        <f>"201511036598"</f>
        <v>201511036598</v>
      </c>
      <c r="I482">
        <v>858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70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Y482">
        <v>0</v>
      </c>
      <c r="Z482">
        <v>928</v>
      </c>
    </row>
    <row r="483" spans="1:26" x14ac:dyDescent="0.25">
      <c r="H483" t="s">
        <v>887</v>
      </c>
    </row>
    <row r="484" spans="1:26" x14ac:dyDescent="0.25">
      <c r="A484">
        <v>239</v>
      </c>
      <c r="C484">
        <v>12864</v>
      </c>
      <c r="D484" t="s">
        <v>888</v>
      </c>
      <c r="E484" t="s">
        <v>889</v>
      </c>
      <c r="F484" t="s">
        <v>890</v>
      </c>
      <c r="G484" t="s">
        <v>891</v>
      </c>
      <c r="H484" t="str">
        <f>"00487500"</f>
        <v>00487500</v>
      </c>
      <c r="I484">
        <v>897.6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30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Y484">
        <v>0</v>
      </c>
      <c r="Z484">
        <v>927.6</v>
      </c>
    </row>
    <row r="485" spans="1:26" x14ac:dyDescent="0.25">
      <c r="H485" t="s">
        <v>892</v>
      </c>
    </row>
    <row r="486" spans="1:26" x14ac:dyDescent="0.25">
      <c r="A486">
        <v>240</v>
      </c>
      <c r="C486">
        <v>14309</v>
      </c>
      <c r="D486" t="s">
        <v>893</v>
      </c>
      <c r="E486" t="s">
        <v>894</v>
      </c>
      <c r="F486" t="s">
        <v>103</v>
      </c>
      <c r="G486" t="s">
        <v>895</v>
      </c>
      <c r="H486" t="str">
        <f>"00488427"</f>
        <v>00488427</v>
      </c>
      <c r="I486">
        <v>866.8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30</v>
      </c>
      <c r="P486">
        <v>0</v>
      </c>
      <c r="Q486">
        <v>30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Y486">
        <v>0</v>
      </c>
      <c r="Z486">
        <v>926.8</v>
      </c>
    </row>
    <row r="487" spans="1:26" x14ac:dyDescent="0.25">
      <c r="H487" t="s">
        <v>896</v>
      </c>
    </row>
    <row r="488" spans="1:26" x14ac:dyDescent="0.25">
      <c r="A488">
        <v>241</v>
      </c>
      <c r="C488">
        <v>9184</v>
      </c>
      <c r="D488" t="s">
        <v>897</v>
      </c>
      <c r="E488" t="s">
        <v>415</v>
      </c>
      <c r="F488" t="s">
        <v>898</v>
      </c>
      <c r="G488" t="s">
        <v>899</v>
      </c>
      <c r="H488" t="str">
        <f>"00737518"</f>
        <v>00737518</v>
      </c>
      <c r="I488">
        <v>855.8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70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Y488">
        <v>0</v>
      </c>
      <c r="Z488">
        <v>925.8</v>
      </c>
    </row>
    <row r="489" spans="1:26" x14ac:dyDescent="0.25">
      <c r="H489" t="s">
        <v>900</v>
      </c>
    </row>
    <row r="490" spans="1:26" x14ac:dyDescent="0.25">
      <c r="A490">
        <v>242</v>
      </c>
      <c r="C490">
        <v>10755</v>
      </c>
      <c r="D490" t="s">
        <v>901</v>
      </c>
      <c r="E490" t="s">
        <v>902</v>
      </c>
      <c r="F490" t="s">
        <v>597</v>
      </c>
      <c r="G490" t="s">
        <v>903</v>
      </c>
      <c r="H490" t="str">
        <f>"201511034059"</f>
        <v>201511034059</v>
      </c>
      <c r="I490">
        <v>865.7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30</v>
      </c>
      <c r="P490">
        <v>30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Y490">
        <v>0</v>
      </c>
      <c r="Z490">
        <v>925.7</v>
      </c>
    </row>
    <row r="491" spans="1:26" x14ac:dyDescent="0.25">
      <c r="H491" t="s">
        <v>904</v>
      </c>
    </row>
    <row r="492" spans="1:26" x14ac:dyDescent="0.25">
      <c r="A492">
        <v>243</v>
      </c>
      <c r="B492" t="s">
        <v>905</v>
      </c>
      <c r="C492">
        <v>13051</v>
      </c>
      <c r="D492" t="s">
        <v>906</v>
      </c>
      <c r="E492" t="s">
        <v>178</v>
      </c>
      <c r="F492" t="s">
        <v>540</v>
      </c>
      <c r="G492" t="s">
        <v>907</v>
      </c>
      <c r="H492" t="str">
        <f>"201511023753"</f>
        <v>201511023753</v>
      </c>
      <c r="I492">
        <v>895.4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30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Y492">
        <v>0</v>
      </c>
      <c r="Z492">
        <v>925.4</v>
      </c>
    </row>
    <row r="493" spans="1:26" x14ac:dyDescent="0.25">
      <c r="H493" t="s">
        <v>908</v>
      </c>
    </row>
    <row r="494" spans="1:26" x14ac:dyDescent="0.25">
      <c r="A494">
        <v>244</v>
      </c>
      <c r="B494" t="s">
        <v>909</v>
      </c>
      <c r="C494">
        <v>464</v>
      </c>
      <c r="D494" t="s">
        <v>910</v>
      </c>
      <c r="E494" t="s">
        <v>911</v>
      </c>
      <c r="F494" t="s">
        <v>90</v>
      </c>
      <c r="G494" t="s">
        <v>912</v>
      </c>
      <c r="H494" t="str">
        <f>"00486203"</f>
        <v>00486203</v>
      </c>
      <c r="I494">
        <v>894.3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Y494">
        <v>1</v>
      </c>
      <c r="Z494">
        <v>924.3</v>
      </c>
    </row>
    <row r="495" spans="1:26" x14ac:dyDescent="0.25">
      <c r="H495" t="s">
        <v>913</v>
      </c>
    </row>
    <row r="496" spans="1:26" x14ac:dyDescent="0.25">
      <c r="A496">
        <v>245</v>
      </c>
      <c r="C496">
        <v>10564</v>
      </c>
      <c r="D496" t="s">
        <v>885</v>
      </c>
      <c r="E496" t="s">
        <v>415</v>
      </c>
      <c r="F496" t="s">
        <v>39</v>
      </c>
      <c r="G496" t="s">
        <v>914</v>
      </c>
      <c r="H496" t="str">
        <f>"00492848"</f>
        <v>00492848</v>
      </c>
      <c r="I496">
        <v>894.3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30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Y496">
        <v>0</v>
      </c>
      <c r="Z496">
        <v>924.3</v>
      </c>
    </row>
    <row r="497" spans="1:26" x14ac:dyDescent="0.25">
      <c r="H497" t="s">
        <v>915</v>
      </c>
    </row>
    <row r="498" spans="1:26" x14ac:dyDescent="0.25">
      <c r="A498">
        <v>246</v>
      </c>
      <c r="C498">
        <v>13612</v>
      </c>
      <c r="D498" t="s">
        <v>916</v>
      </c>
      <c r="E498" t="s">
        <v>917</v>
      </c>
      <c r="F498" t="s">
        <v>204</v>
      </c>
      <c r="G498" t="s">
        <v>918</v>
      </c>
      <c r="H498" t="str">
        <f>"00488339"</f>
        <v>00488339</v>
      </c>
      <c r="I498">
        <v>853.6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70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Y498">
        <v>0</v>
      </c>
      <c r="Z498">
        <v>923.6</v>
      </c>
    </row>
    <row r="499" spans="1:26" x14ac:dyDescent="0.25">
      <c r="H499" t="s">
        <v>919</v>
      </c>
    </row>
    <row r="500" spans="1:26" x14ac:dyDescent="0.25">
      <c r="A500">
        <v>247</v>
      </c>
      <c r="C500">
        <v>14222</v>
      </c>
      <c r="D500" t="s">
        <v>920</v>
      </c>
      <c r="E500" t="s">
        <v>921</v>
      </c>
      <c r="F500" t="s">
        <v>51</v>
      </c>
      <c r="G500" t="s">
        <v>922</v>
      </c>
      <c r="H500" t="str">
        <f>"201511036195"</f>
        <v>201511036195</v>
      </c>
      <c r="I500">
        <v>893.2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30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Y500">
        <v>0</v>
      </c>
      <c r="Z500">
        <v>923.2</v>
      </c>
    </row>
    <row r="501" spans="1:26" x14ac:dyDescent="0.25">
      <c r="H501" t="s">
        <v>923</v>
      </c>
    </row>
    <row r="502" spans="1:26" x14ac:dyDescent="0.25">
      <c r="A502">
        <v>248</v>
      </c>
      <c r="C502">
        <v>14927</v>
      </c>
      <c r="D502" t="s">
        <v>924</v>
      </c>
      <c r="E502" t="s">
        <v>112</v>
      </c>
      <c r="F502" t="s">
        <v>194</v>
      </c>
      <c r="G502" t="s">
        <v>925</v>
      </c>
      <c r="H502" t="str">
        <f>"00017687"</f>
        <v>00017687</v>
      </c>
      <c r="I502">
        <v>893.2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30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Y502">
        <v>0</v>
      </c>
      <c r="Z502">
        <v>923.2</v>
      </c>
    </row>
    <row r="503" spans="1:26" x14ac:dyDescent="0.25">
      <c r="H503" t="s">
        <v>926</v>
      </c>
    </row>
    <row r="504" spans="1:26" x14ac:dyDescent="0.25">
      <c r="A504">
        <v>249</v>
      </c>
      <c r="C504">
        <v>9519</v>
      </c>
      <c r="D504" t="s">
        <v>927</v>
      </c>
      <c r="E504" t="s">
        <v>928</v>
      </c>
      <c r="F504" t="s">
        <v>929</v>
      </c>
      <c r="G504" t="s">
        <v>930</v>
      </c>
      <c r="H504" t="str">
        <f>"00737035"</f>
        <v>00737035</v>
      </c>
      <c r="I504">
        <v>852.5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70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Y504">
        <v>0</v>
      </c>
      <c r="Z504">
        <v>922.5</v>
      </c>
    </row>
    <row r="505" spans="1:26" x14ac:dyDescent="0.25">
      <c r="H505" t="s">
        <v>931</v>
      </c>
    </row>
    <row r="506" spans="1:26" x14ac:dyDescent="0.25">
      <c r="A506">
        <v>250</v>
      </c>
      <c r="C506">
        <v>10480</v>
      </c>
      <c r="D506" t="s">
        <v>932</v>
      </c>
      <c r="E506" t="s">
        <v>933</v>
      </c>
      <c r="F506" t="s">
        <v>84</v>
      </c>
      <c r="G506" t="s">
        <v>934</v>
      </c>
      <c r="H506" t="str">
        <f>"00492491"</f>
        <v>00492491</v>
      </c>
      <c r="I506">
        <v>892.1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Y506">
        <v>0</v>
      </c>
      <c r="Z506">
        <v>922.1</v>
      </c>
    </row>
    <row r="507" spans="1:26" x14ac:dyDescent="0.25">
      <c r="H507" t="s">
        <v>935</v>
      </c>
    </row>
    <row r="508" spans="1:26" x14ac:dyDescent="0.25">
      <c r="A508">
        <v>251</v>
      </c>
      <c r="C508">
        <v>8295</v>
      </c>
      <c r="D508" t="s">
        <v>936</v>
      </c>
      <c r="E508" t="s">
        <v>51</v>
      </c>
      <c r="F508" t="s">
        <v>16</v>
      </c>
      <c r="G508" t="s">
        <v>937</v>
      </c>
      <c r="H508" t="str">
        <f>"00732614"</f>
        <v>00732614</v>
      </c>
      <c r="I508">
        <v>771.1</v>
      </c>
      <c r="J508">
        <v>150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Y508">
        <v>0</v>
      </c>
      <c r="Z508">
        <v>921.1</v>
      </c>
    </row>
    <row r="509" spans="1:26" x14ac:dyDescent="0.25">
      <c r="H509" t="s">
        <v>938</v>
      </c>
    </row>
    <row r="510" spans="1:26" x14ac:dyDescent="0.25">
      <c r="A510">
        <v>252</v>
      </c>
      <c r="C510">
        <v>6233</v>
      </c>
      <c r="D510" t="s">
        <v>939</v>
      </c>
      <c r="E510" t="s">
        <v>940</v>
      </c>
      <c r="F510" t="s">
        <v>385</v>
      </c>
      <c r="G510" t="s">
        <v>941</v>
      </c>
      <c r="H510" t="str">
        <f>"00084423"</f>
        <v>00084423</v>
      </c>
      <c r="I510">
        <v>891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30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Y510">
        <v>0</v>
      </c>
      <c r="Z510">
        <v>921</v>
      </c>
    </row>
    <row r="511" spans="1:26" x14ac:dyDescent="0.25">
      <c r="H511" t="s">
        <v>942</v>
      </c>
    </row>
    <row r="512" spans="1:26" x14ac:dyDescent="0.25">
      <c r="A512">
        <v>253</v>
      </c>
      <c r="C512">
        <v>16028</v>
      </c>
      <c r="D512" t="s">
        <v>943</v>
      </c>
      <c r="E512" t="s">
        <v>16</v>
      </c>
      <c r="F512" t="s">
        <v>90</v>
      </c>
      <c r="G512" t="s">
        <v>944</v>
      </c>
      <c r="H512" t="str">
        <f>"201511035831"</f>
        <v>201511035831</v>
      </c>
      <c r="I512">
        <v>920.7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Y512">
        <v>0</v>
      </c>
      <c r="Z512">
        <v>920.7</v>
      </c>
    </row>
    <row r="513" spans="1:26" x14ac:dyDescent="0.25">
      <c r="H513" t="s">
        <v>945</v>
      </c>
    </row>
    <row r="514" spans="1:26" x14ac:dyDescent="0.25">
      <c r="A514">
        <v>254</v>
      </c>
      <c r="C514">
        <v>17705</v>
      </c>
      <c r="D514" t="s">
        <v>946</v>
      </c>
      <c r="E514" t="s">
        <v>89</v>
      </c>
      <c r="F514" t="s">
        <v>39</v>
      </c>
      <c r="G514" t="s">
        <v>947</v>
      </c>
      <c r="H514" t="str">
        <f>"201511037789"</f>
        <v>201511037789</v>
      </c>
      <c r="I514">
        <v>889.9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Y514">
        <v>0</v>
      </c>
      <c r="Z514">
        <v>919.9</v>
      </c>
    </row>
    <row r="515" spans="1:26" x14ac:dyDescent="0.25">
      <c r="H515" t="s">
        <v>948</v>
      </c>
    </row>
    <row r="516" spans="1:26" x14ac:dyDescent="0.25">
      <c r="A516">
        <v>255</v>
      </c>
      <c r="C516">
        <v>3858</v>
      </c>
      <c r="D516" t="s">
        <v>949</v>
      </c>
      <c r="E516" t="s">
        <v>164</v>
      </c>
      <c r="F516" t="s">
        <v>199</v>
      </c>
      <c r="G516" t="s">
        <v>950</v>
      </c>
      <c r="H516" t="str">
        <f>"201511025562"</f>
        <v>201511025562</v>
      </c>
      <c r="I516">
        <v>889.9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30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Y516">
        <v>0</v>
      </c>
      <c r="Z516">
        <v>919.9</v>
      </c>
    </row>
    <row r="517" spans="1:26" x14ac:dyDescent="0.25">
      <c r="H517" t="s">
        <v>951</v>
      </c>
    </row>
    <row r="518" spans="1:26" x14ac:dyDescent="0.25">
      <c r="A518">
        <v>256</v>
      </c>
      <c r="C518">
        <v>10787</v>
      </c>
      <c r="D518" t="s">
        <v>952</v>
      </c>
      <c r="E518" t="s">
        <v>953</v>
      </c>
      <c r="F518" t="s">
        <v>16</v>
      </c>
      <c r="G518" t="s">
        <v>954</v>
      </c>
      <c r="H518" t="str">
        <f>"201511010066"</f>
        <v>201511010066</v>
      </c>
      <c r="I518">
        <v>889.9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30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Y518">
        <v>2</v>
      </c>
      <c r="Z518">
        <v>919.9</v>
      </c>
    </row>
    <row r="519" spans="1:26" x14ac:dyDescent="0.25">
      <c r="H519" t="s">
        <v>955</v>
      </c>
    </row>
    <row r="520" spans="1:26" x14ac:dyDescent="0.25">
      <c r="A520">
        <v>257</v>
      </c>
      <c r="C520">
        <v>9113</v>
      </c>
      <c r="D520" t="s">
        <v>956</v>
      </c>
      <c r="E520" t="s">
        <v>902</v>
      </c>
      <c r="F520" t="s">
        <v>16</v>
      </c>
      <c r="G520" t="s">
        <v>957</v>
      </c>
      <c r="H520" t="str">
        <f>"00032699"</f>
        <v>00032699</v>
      </c>
      <c r="I520">
        <v>919.6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Y520">
        <v>0</v>
      </c>
      <c r="Z520">
        <v>919.6</v>
      </c>
    </row>
    <row r="521" spans="1:26" x14ac:dyDescent="0.25">
      <c r="H521" t="s">
        <v>958</v>
      </c>
    </row>
    <row r="522" spans="1:26" x14ac:dyDescent="0.25">
      <c r="A522">
        <v>258</v>
      </c>
      <c r="B522" t="s">
        <v>959</v>
      </c>
      <c r="C522">
        <v>11798</v>
      </c>
      <c r="D522" t="s">
        <v>960</v>
      </c>
      <c r="E522" t="s">
        <v>126</v>
      </c>
      <c r="F522" t="s">
        <v>961</v>
      </c>
      <c r="G522" t="s">
        <v>962</v>
      </c>
      <c r="H522" t="str">
        <f>"00679609"</f>
        <v>00679609</v>
      </c>
      <c r="I522">
        <v>849.2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70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Y522">
        <v>1</v>
      </c>
      <c r="Z522">
        <v>919.2</v>
      </c>
    </row>
    <row r="523" spans="1:26" x14ac:dyDescent="0.25">
      <c r="H523" t="s">
        <v>963</v>
      </c>
    </row>
    <row r="524" spans="1:26" x14ac:dyDescent="0.25">
      <c r="A524">
        <v>259</v>
      </c>
      <c r="C524">
        <v>12311</v>
      </c>
      <c r="D524" t="s">
        <v>964</v>
      </c>
      <c r="E524" t="s">
        <v>551</v>
      </c>
      <c r="F524" t="s">
        <v>965</v>
      </c>
      <c r="G524" t="s">
        <v>966</v>
      </c>
      <c r="H524" t="str">
        <f>"201511013003"</f>
        <v>201511013003</v>
      </c>
      <c r="I524">
        <v>887.7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30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Y524">
        <v>0</v>
      </c>
      <c r="Z524">
        <v>917.7</v>
      </c>
    </row>
    <row r="525" spans="1:26" x14ac:dyDescent="0.25">
      <c r="H525" t="s">
        <v>967</v>
      </c>
    </row>
    <row r="526" spans="1:26" x14ac:dyDescent="0.25">
      <c r="A526">
        <v>260</v>
      </c>
      <c r="C526">
        <v>12727</v>
      </c>
      <c r="D526" t="s">
        <v>968</v>
      </c>
      <c r="E526" t="s">
        <v>78</v>
      </c>
      <c r="F526" t="s">
        <v>16</v>
      </c>
      <c r="G526" t="s">
        <v>969</v>
      </c>
      <c r="H526" t="str">
        <f>"00662969"</f>
        <v>00662969</v>
      </c>
      <c r="I526">
        <v>917.4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Y526">
        <v>0</v>
      </c>
      <c r="Z526">
        <v>917.4</v>
      </c>
    </row>
    <row r="527" spans="1:26" x14ac:dyDescent="0.25">
      <c r="H527" t="s">
        <v>970</v>
      </c>
    </row>
    <row r="528" spans="1:26" x14ac:dyDescent="0.25">
      <c r="A528">
        <v>261</v>
      </c>
      <c r="C528">
        <v>4874</v>
      </c>
      <c r="D528" t="s">
        <v>971</v>
      </c>
      <c r="E528" t="s">
        <v>972</v>
      </c>
      <c r="F528" t="s">
        <v>108</v>
      </c>
      <c r="G528" t="s">
        <v>973</v>
      </c>
      <c r="H528" t="str">
        <f>"00020504"</f>
        <v>00020504</v>
      </c>
      <c r="I528">
        <v>817.3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70</v>
      </c>
      <c r="P528">
        <v>0</v>
      </c>
      <c r="Q528">
        <v>30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Y528">
        <v>0</v>
      </c>
      <c r="Z528">
        <v>917.3</v>
      </c>
    </row>
    <row r="529" spans="1:26" x14ac:dyDescent="0.25">
      <c r="H529" t="s">
        <v>974</v>
      </c>
    </row>
    <row r="530" spans="1:26" x14ac:dyDescent="0.25">
      <c r="A530">
        <v>262</v>
      </c>
      <c r="C530">
        <v>9759</v>
      </c>
      <c r="D530" t="s">
        <v>975</v>
      </c>
      <c r="E530" t="s">
        <v>264</v>
      </c>
      <c r="F530" t="s">
        <v>51</v>
      </c>
      <c r="G530" t="s">
        <v>976</v>
      </c>
      <c r="H530" t="str">
        <f>"00498836"</f>
        <v>00498836</v>
      </c>
      <c r="I530">
        <v>886.6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30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Y530">
        <v>0</v>
      </c>
      <c r="Z530">
        <v>916.6</v>
      </c>
    </row>
    <row r="531" spans="1:26" x14ac:dyDescent="0.25">
      <c r="H531" t="s">
        <v>977</v>
      </c>
    </row>
    <row r="532" spans="1:26" x14ac:dyDescent="0.25">
      <c r="A532">
        <v>263</v>
      </c>
      <c r="C532">
        <v>6857</v>
      </c>
      <c r="D532" t="s">
        <v>978</v>
      </c>
      <c r="E532" t="s">
        <v>39</v>
      </c>
      <c r="F532" t="s">
        <v>73</v>
      </c>
      <c r="G532" t="s">
        <v>979</v>
      </c>
      <c r="H532" t="str">
        <f>"201410012481"</f>
        <v>201410012481</v>
      </c>
      <c r="I532">
        <v>916.3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Y532">
        <v>0</v>
      </c>
      <c r="Z532">
        <v>916.3</v>
      </c>
    </row>
    <row r="533" spans="1:26" x14ac:dyDescent="0.25">
      <c r="H533" t="s">
        <v>980</v>
      </c>
    </row>
    <row r="534" spans="1:26" x14ac:dyDescent="0.25">
      <c r="A534">
        <v>264</v>
      </c>
      <c r="C534">
        <v>9318</v>
      </c>
      <c r="D534" t="s">
        <v>981</v>
      </c>
      <c r="E534" t="s">
        <v>264</v>
      </c>
      <c r="F534" t="s">
        <v>138</v>
      </c>
      <c r="G534" t="s">
        <v>982</v>
      </c>
      <c r="H534" t="str">
        <f>"201511038083"</f>
        <v>201511038083</v>
      </c>
      <c r="I534">
        <v>855.8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30</v>
      </c>
      <c r="P534">
        <v>30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Y534">
        <v>0</v>
      </c>
      <c r="Z534">
        <v>915.8</v>
      </c>
    </row>
    <row r="535" spans="1:26" x14ac:dyDescent="0.25">
      <c r="H535" t="s">
        <v>983</v>
      </c>
    </row>
    <row r="536" spans="1:26" x14ac:dyDescent="0.25">
      <c r="A536">
        <v>265</v>
      </c>
      <c r="C536">
        <v>4011</v>
      </c>
      <c r="D536" t="s">
        <v>984</v>
      </c>
      <c r="E536" t="s">
        <v>248</v>
      </c>
      <c r="F536" t="s">
        <v>194</v>
      </c>
      <c r="G536" t="s">
        <v>985</v>
      </c>
      <c r="H536" t="str">
        <f>"201507002016"</f>
        <v>201507002016</v>
      </c>
      <c r="I536">
        <v>885.5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30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Y536">
        <v>0</v>
      </c>
      <c r="Z536">
        <v>915.5</v>
      </c>
    </row>
    <row r="537" spans="1:26" x14ac:dyDescent="0.25">
      <c r="H537" t="s">
        <v>986</v>
      </c>
    </row>
    <row r="538" spans="1:26" x14ac:dyDescent="0.25">
      <c r="A538">
        <v>266</v>
      </c>
      <c r="C538">
        <v>4822</v>
      </c>
      <c r="D538" t="s">
        <v>987</v>
      </c>
      <c r="E538" t="s">
        <v>988</v>
      </c>
      <c r="F538" t="s">
        <v>989</v>
      </c>
      <c r="G538" t="s">
        <v>990</v>
      </c>
      <c r="H538" t="str">
        <f>"00075318"</f>
        <v>00075318</v>
      </c>
      <c r="I538">
        <v>915.2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Y538">
        <v>0</v>
      </c>
      <c r="Z538">
        <v>915.2</v>
      </c>
    </row>
    <row r="539" spans="1:26" x14ac:dyDescent="0.25">
      <c r="H539" t="s">
        <v>991</v>
      </c>
    </row>
    <row r="540" spans="1:26" x14ac:dyDescent="0.25">
      <c r="A540">
        <v>267</v>
      </c>
      <c r="C540">
        <v>8628</v>
      </c>
      <c r="D540" t="s">
        <v>992</v>
      </c>
      <c r="E540" t="s">
        <v>248</v>
      </c>
      <c r="F540" t="s">
        <v>993</v>
      </c>
      <c r="G540" t="s">
        <v>994</v>
      </c>
      <c r="H540" t="str">
        <f>"201306000006"</f>
        <v>201306000006</v>
      </c>
      <c r="I540">
        <v>844.8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70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Y540">
        <v>0</v>
      </c>
      <c r="Z540">
        <v>914.8</v>
      </c>
    </row>
    <row r="541" spans="1:26" x14ac:dyDescent="0.25">
      <c r="H541" t="s">
        <v>995</v>
      </c>
    </row>
    <row r="542" spans="1:26" x14ac:dyDescent="0.25">
      <c r="A542">
        <v>268</v>
      </c>
      <c r="C542">
        <v>9203</v>
      </c>
      <c r="D542" t="s">
        <v>996</v>
      </c>
      <c r="E542" t="s">
        <v>997</v>
      </c>
      <c r="F542" t="s">
        <v>51</v>
      </c>
      <c r="G542" t="s">
        <v>998</v>
      </c>
      <c r="H542" t="str">
        <f>"00500355"</f>
        <v>00500355</v>
      </c>
      <c r="I542">
        <v>844.8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70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Y542">
        <v>0</v>
      </c>
      <c r="Z542">
        <v>914.8</v>
      </c>
    </row>
    <row r="543" spans="1:26" x14ac:dyDescent="0.25">
      <c r="H543" t="s">
        <v>999</v>
      </c>
    </row>
    <row r="544" spans="1:26" x14ac:dyDescent="0.25">
      <c r="A544">
        <v>269</v>
      </c>
      <c r="C544">
        <v>4798</v>
      </c>
      <c r="D544" t="s">
        <v>1000</v>
      </c>
      <c r="E544" t="s">
        <v>94</v>
      </c>
      <c r="F544" t="s">
        <v>204</v>
      </c>
      <c r="G544" t="s">
        <v>1001</v>
      </c>
      <c r="H544" t="str">
        <f>"00498814"</f>
        <v>00498814</v>
      </c>
      <c r="I544">
        <v>864.6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50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Y544">
        <v>0</v>
      </c>
      <c r="Z544">
        <v>914.6</v>
      </c>
    </row>
    <row r="545" spans="1:26" x14ac:dyDescent="0.25">
      <c r="H545" t="s">
        <v>1002</v>
      </c>
    </row>
    <row r="546" spans="1:26" x14ac:dyDescent="0.25">
      <c r="A546">
        <v>270</v>
      </c>
      <c r="C546">
        <v>7354</v>
      </c>
      <c r="D546" t="s">
        <v>1003</v>
      </c>
      <c r="E546" t="s">
        <v>1004</v>
      </c>
      <c r="F546" t="s">
        <v>127</v>
      </c>
      <c r="G546" t="s">
        <v>1005</v>
      </c>
      <c r="H546" t="str">
        <f>"00736410"</f>
        <v>00736410</v>
      </c>
      <c r="I546">
        <v>914.1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Y546">
        <v>0</v>
      </c>
      <c r="Z546">
        <v>914.1</v>
      </c>
    </row>
    <row r="547" spans="1:26" x14ac:dyDescent="0.25">
      <c r="H547" t="s">
        <v>1006</v>
      </c>
    </row>
    <row r="548" spans="1:26" x14ac:dyDescent="0.25">
      <c r="A548">
        <v>271</v>
      </c>
      <c r="C548">
        <v>12180</v>
      </c>
      <c r="D548" t="s">
        <v>1007</v>
      </c>
      <c r="E548" t="s">
        <v>1008</v>
      </c>
      <c r="F548" t="s">
        <v>1009</v>
      </c>
      <c r="G548" t="s">
        <v>1010</v>
      </c>
      <c r="H548" t="str">
        <f>"00553390"</f>
        <v>00553390</v>
      </c>
      <c r="I548">
        <v>883.3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30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Y548">
        <v>0</v>
      </c>
      <c r="Z548">
        <v>913.3</v>
      </c>
    </row>
    <row r="549" spans="1:26" x14ac:dyDescent="0.25">
      <c r="H549" t="s">
        <v>1011</v>
      </c>
    </row>
    <row r="550" spans="1:26" x14ac:dyDescent="0.25">
      <c r="A550">
        <v>272</v>
      </c>
      <c r="C550">
        <v>7568</v>
      </c>
      <c r="D550" t="s">
        <v>1012</v>
      </c>
      <c r="E550" t="s">
        <v>395</v>
      </c>
      <c r="F550" t="s">
        <v>39</v>
      </c>
      <c r="G550" t="s">
        <v>1013</v>
      </c>
      <c r="H550" t="str">
        <f>"201511033003"</f>
        <v>201511033003</v>
      </c>
      <c r="I550">
        <v>832.7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50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Y550">
        <v>0</v>
      </c>
      <c r="Z550">
        <v>912.7</v>
      </c>
    </row>
    <row r="551" spans="1:26" x14ac:dyDescent="0.25">
      <c r="H551" t="s">
        <v>1014</v>
      </c>
    </row>
    <row r="552" spans="1:26" x14ac:dyDescent="0.25">
      <c r="A552">
        <v>273</v>
      </c>
      <c r="C552">
        <v>5953</v>
      </c>
      <c r="D552" t="s">
        <v>1015</v>
      </c>
      <c r="E552" t="s">
        <v>144</v>
      </c>
      <c r="F552" t="s">
        <v>16</v>
      </c>
      <c r="G552" t="s">
        <v>1016</v>
      </c>
      <c r="H552" t="str">
        <f>"201511031864"</f>
        <v>201511031864</v>
      </c>
      <c r="I552">
        <v>842.6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70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Y552">
        <v>0</v>
      </c>
      <c r="Z552">
        <v>912.6</v>
      </c>
    </row>
    <row r="553" spans="1:26" x14ac:dyDescent="0.25">
      <c r="H553" t="s">
        <v>1017</v>
      </c>
    </row>
    <row r="554" spans="1:26" x14ac:dyDescent="0.25">
      <c r="A554">
        <v>274</v>
      </c>
      <c r="C554">
        <v>14562</v>
      </c>
      <c r="D554" t="s">
        <v>1018</v>
      </c>
      <c r="E554" t="s">
        <v>79</v>
      </c>
      <c r="F554" t="s">
        <v>1019</v>
      </c>
      <c r="G554" t="s">
        <v>1020</v>
      </c>
      <c r="H554" t="str">
        <f>"201407000295"</f>
        <v>201407000295</v>
      </c>
      <c r="I554">
        <v>882.2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30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Y554">
        <v>0</v>
      </c>
      <c r="Z554">
        <v>912.2</v>
      </c>
    </row>
    <row r="555" spans="1:26" x14ac:dyDescent="0.25">
      <c r="H555" t="s">
        <v>1021</v>
      </c>
    </row>
    <row r="556" spans="1:26" x14ac:dyDescent="0.25">
      <c r="A556">
        <v>275</v>
      </c>
      <c r="C556">
        <v>12712</v>
      </c>
      <c r="D556" t="s">
        <v>1022</v>
      </c>
      <c r="E556" t="s">
        <v>415</v>
      </c>
      <c r="F556" t="s">
        <v>90</v>
      </c>
      <c r="G556" t="s">
        <v>1023</v>
      </c>
      <c r="H556" t="str">
        <f>"00479595"</f>
        <v>00479595</v>
      </c>
      <c r="I556">
        <v>882.2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30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Y556">
        <v>0</v>
      </c>
      <c r="Z556">
        <v>912.2</v>
      </c>
    </row>
    <row r="557" spans="1:26" x14ac:dyDescent="0.25">
      <c r="H557" t="s">
        <v>1024</v>
      </c>
    </row>
    <row r="558" spans="1:26" x14ac:dyDescent="0.25">
      <c r="A558">
        <v>276</v>
      </c>
      <c r="C558">
        <v>6113</v>
      </c>
      <c r="D558" t="s">
        <v>1025</v>
      </c>
      <c r="E558" t="s">
        <v>1026</v>
      </c>
      <c r="F558" t="s">
        <v>194</v>
      </c>
      <c r="G558" t="s">
        <v>1027</v>
      </c>
      <c r="H558" t="str">
        <f>"00497265"</f>
        <v>00497265</v>
      </c>
      <c r="I558">
        <v>841.5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70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Y558">
        <v>0</v>
      </c>
      <c r="Z558">
        <v>911.5</v>
      </c>
    </row>
    <row r="559" spans="1:26" x14ac:dyDescent="0.25">
      <c r="H559" t="s">
        <v>1028</v>
      </c>
    </row>
    <row r="560" spans="1:26" x14ac:dyDescent="0.25">
      <c r="A560">
        <v>277</v>
      </c>
      <c r="B560" t="s">
        <v>168</v>
      </c>
      <c r="C560">
        <v>6030</v>
      </c>
      <c r="D560" t="s">
        <v>1029</v>
      </c>
      <c r="E560" t="s">
        <v>1030</v>
      </c>
      <c r="F560" t="s">
        <v>73</v>
      </c>
      <c r="G560" t="s">
        <v>1031</v>
      </c>
      <c r="H560" t="str">
        <f>"201406011252"</f>
        <v>201406011252</v>
      </c>
      <c r="I560">
        <v>861.3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Y560">
        <v>0</v>
      </c>
      <c r="Z560">
        <v>911.3</v>
      </c>
    </row>
    <row r="561" spans="1:26" x14ac:dyDescent="0.25">
      <c r="H561" t="s">
        <v>1032</v>
      </c>
    </row>
    <row r="562" spans="1:26" x14ac:dyDescent="0.25">
      <c r="A562">
        <v>278</v>
      </c>
      <c r="C562">
        <v>4615</v>
      </c>
      <c r="D562" t="s">
        <v>1033</v>
      </c>
      <c r="E562" t="s">
        <v>399</v>
      </c>
      <c r="F562" t="s">
        <v>84</v>
      </c>
      <c r="G562" t="s">
        <v>1034</v>
      </c>
      <c r="H562" t="str">
        <f>"201511032590"</f>
        <v>201511032590</v>
      </c>
      <c r="I562">
        <v>881.1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30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Y562">
        <v>0</v>
      </c>
      <c r="Z562">
        <v>911.1</v>
      </c>
    </row>
    <row r="563" spans="1:26" x14ac:dyDescent="0.25">
      <c r="H563" t="s">
        <v>1035</v>
      </c>
    </row>
    <row r="564" spans="1:26" x14ac:dyDescent="0.25">
      <c r="A564">
        <v>279</v>
      </c>
      <c r="C564">
        <v>8853</v>
      </c>
      <c r="D564" t="s">
        <v>1036</v>
      </c>
      <c r="E564" t="s">
        <v>395</v>
      </c>
      <c r="F564" t="s">
        <v>39</v>
      </c>
      <c r="G564" t="s">
        <v>1037</v>
      </c>
      <c r="H564" t="str">
        <f>"201511036002"</f>
        <v>201511036002</v>
      </c>
      <c r="I564">
        <v>881.1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30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Y564">
        <v>0</v>
      </c>
      <c r="Z564">
        <v>911.1</v>
      </c>
    </row>
    <row r="565" spans="1:26" x14ac:dyDescent="0.25">
      <c r="H565" t="s">
        <v>1038</v>
      </c>
    </row>
    <row r="566" spans="1:26" x14ac:dyDescent="0.25">
      <c r="A566">
        <v>280</v>
      </c>
      <c r="C566">
        <v>5370</v>
      </c>
      <c r="D566" t="s">
        <v>1039</v>
      </c>
      <c r="E566" t="s">
        <v>112</v>
      </c>
      <c r="F566" t="s">
        <v>1040</v>
      </c>
      <c r="G566" t="s">
        <v>1041</v>
      </c>
      <c r="H566" t="str">
        <f>"201511020938"</f>
        <v>201511020938</v>
      </c>
      <c r="I566">
        <v>880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Y566">
        <v>0</v>
      </c>
      <c r="Z566">
        <v>910</v>
      </c>
    </row>
    <row r="567" spans="1:26" x14ac:dyDescent="0.25">
      <c r="H567" t="s">
        <v>1042</v>
      </c>
    </row>
    <row r="568" spans="1:26" x14ac:dyDescent="0.25">
      <c r="A568">
        <v>281</v>
      </c>
      <c r="C568">
        <v>11003</v>
      </c>
      <c r="D568" t="s">
        <v>234</v>
      </c>
      <c r="E568" t="s">
        <v>132</v>
      </c>
      <c r="F568" t="s">
        <v>127</v>
      </c>
      <c r="G568" t="s">
        <v>1043</v>
      </c>
      <c r="H568" t="str">
        <f>"00491061"</f>
        <v>00491061</v>
      </c>
      <c r="I568">
        <v>880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Y568">
        <v>0</v>
      </c>
      <c r="Z568">
        <v>910</v>
      </c>
    </row>
    <row r="569" spans="1:26" x14ac:dyDescent="0.25">
      <c r="H569" t="s">
        <v>1044</v>
      </c>
    </row>
    <row r="570" spans="1:26" x14ac:dyDescent="0.25">
      <c r="A570">
        <v>282</v>
      </c>
      <c r="C570">
        <v>14103</v>
      </c>
      <c r="D570" t="s">
        <v>1045</v>
      </c>
      <c r="E570" t="s">
        <v>182</v>
      </c>
      <c r="F570" t="s">
        <v>194</v>
      </c>
      <c r="G570" t="s">
        <v>1046</v>
      </c>
      <c r="H570" t="str">
        <f>"00492788"</f>
        <v>00492788</v>
      </c>
      <c r="I570">
        <v>880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30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Y570">
        <v>0</v>
      </c>
      <c r="Z570">
        <v>910</v>
      </c>
    </row>
    <row r="571" spans="1:26" x14ac:dyDescent="0.25">
      <c r="H571" t="s">
        <v>1047</v>
      </c>
    </row>
    <row r="572" spans="1:26" x14ac:dyDescent="0.25">
      <c r="A572">
        <v>283</v>
      </c>
      <c r="C572">
        <v>16373</v>
      </c>
      <c r="D572" t="s">
        <v>1048</v>
      </c>
      <c r="E572" t="s">
        <v>1049</v>
      </c>
      <c r="F572" t="s">
        <v>1050</v>
      </c>
      <c r="G572" t="s">
        <v>1051</v>
      </c>
      <c r="H572" t="str">
        <f>"201511006304"</f>
        <v>201511006304</v>
      </c>
      <c r="I572">
        <v>839.3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70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Y572">
        <v>0</v>
      </c>
      <c r="Z572">
        <v>909.3</v>
      </c>
    </row>
    <row r="573" spans="1:26" x14ac:dyDescent="0.25">
      <c r="H573" t="s">
        <v>1052</v>
      </c>
    </row>
    <row r="574" spans="1:26" x14ac:dyDescent="0.25">
      <c r="A574">
        <v>284</v>
      </c>
      <c r="C574">
        <v>5941</v>
      </c>
      <c r="D574" t="s">
        <v>1053</v>
      </c>
      <c r="E574" t="s">
        <v>208</v>
      </c>
      <c r="F574" t="s">
        <v>73</v>
      </c>
      <c r="G574" t="s">
        <v>1054</v>
      </c>
      <c r="H574" t="str">
        <f>"201502001134"</f>
        <v>201502001134</v>
      </c>
      <c r="I574">
        <v>878.9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Y574">
        <v>0</v>
      </c>
      <c r="Z574">
        <v>908.9</v>
      </c>
    </row>
    <row r="575" spans="1:26" x14ac:dyDescent="0.25">
      <c r="H575" t="s">
        <v>1055</v>
      </c>
    </row>
    <row r="576" spans="1:26" x14ac:dyDescent="0.25">
      <c r="A576">
        <v>285</v>
      </c>
      <c r="C576">
        <v>5879</v>
      </c>
      <c r="D576" t="s">
        <v>1056</v>
      </c>
      <c r="E576" t="s">
        <v>248</v>
      </c>
      <c r="F576" t="s">
        <v>1057</v>
      </c>
      <c r="G576" t="s">
        <v>1058</v>
      </c>
      <c r="H576" t="str">
        <f>"00678075"</f>
        <v>00678075</v>
      </c>
      <c r="I576">
        <v>908.6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Y576">
        <v>0</v>
      </c>
      <c r="Z576">
        <v>908.6</v>
      </c>
    </row>
    <row r="577" spans="1:26" x14ac:dyDescent="0.25">
      <c r="H577" t="s">
        <v>1059</v>
      </c>
    </row>
    <row r="578" spans="1:26" x14ac:dyDescent="0.25">
      <c r="A578">
        <v>286</v>
      </c>
      <c r="C578">
        <v>7273</v>
      </c>
      <c r="D578" t="s">
        <v>1060</v>
      </c>
      <c r="E578" t="s">
        <v>1061</v>
      </c>
      <c r="F578" t="s">
        <v>39</v>
      </c>
      <c r="G578" t="s">
        <v>1062</v>
      </c>
      <c r="H578" t="str">
        <f>"201511012769"</f>
        <v>201511012769</v>
      </c>
      <c r="I578">
        <v>838.2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70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Y578">
        <v>0</v>
      </c>
      <c r="Z578">
        <v>908.2</v>
      </c>
    </row>
    <row r="579" spans="1:26" x14ac:dyDescent="0.25">
      <c r="H579" t="s">
        <v>1063</v>
      </c>
    </row>
    <row r="580" spans="1:26" x14ac:dyDescent="0.25">
      <c r="A580">
        <v>287</v>
      </c>
      <c r="C580">
        <v>6862</v>
      </c>
      <c r="D580" t="s">
        <v>1064</v>
      </c>
      <c r="E580" t="s">
        <v>112</v>
      </c>
      <c r="F580" t="s">
        <v>84</v>
      </c>
      <c r="G580" t="s">
        <v>1065</v>
      </c>
      <c r="H580" t="str">
        <f>"201410012586"</f>
        <v>201410012586</v>
      </c>
      <c r="I580">
        <v>877.8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30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Y580">
        <v>0</v>
      </c>
      <c r="Z580">
        <v>907.8</v>
      </c>
    </row>
    <row r="581" spans="1:26" x14ac:dyDescent="0.25">
      <c r="H581" t="s">
        <v>1066</v>
      </c>
    </row>
    <row r="582" spans="1:26" x14ac:dyDescent="0.25">
      <c r="A582">
        <v>288</v>
      </c>
      <c r="C582">
        <v>6611</v>
      </c>
      <c r="D582" t="s">
        <v>1067</v>
      </c>
      <c r="E582" t="s">
        <v>112</v>
      </c>
      <c r="F582" t="s">
        <v>318</v>
      </c>
      <c r="G582" t="s">
        <v>1068</v>
      </c>
      <c r="H582" t="str">
        <f>"201512000562"</f>
        <v>201512000562</v>
      </c>
      <c r="I582">
        <v>877.8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30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Y582">
        <v>0</v>
      </c>
      <c r="Z582">
        <v>907.8</v>
      </c>
    </row>
    <row r="583" spans="1:26" x14ac:dyDescent="0.25">
      <c r="H583" t="s">
        <v>1069</v>
      </c>
    </row>
    <row r="584" spans="1:26" x14ac:dyDescent="0.25">
      <c r="A584">
        <v>289</v>
      </c>
      <c r="C584">
        <v>3690</v>
      </c>
      <c r="D584" t="s">
        <v>1070</v>
      </c>
      <c r="E584" t="s">
        <v>148</v>
      </c>
      <c r="F584" t="s">
        <v>78</v>
      </c>
      <c r="G584" t="s">
        <v>1071</v>
      </c>
      <c r="H584" t="str">
        <f>"201510004950"</f>
        <v>201510004950</v>
      </c>
      <c r="I584">
        <v>907.5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Y584">
        <v>0</v>
      </c>
      <c r="Z584">
        <v>907.5</v>
      </c>
    </row>
    <row r="585" spans="1:26" x14ac:dyDescent="0.25">
      <c r="H585" t="s">
        <v>1072</v>
      </c>
    </row>
    <row r="586" spans="1:26" x14ac:dyDescent="0.25">
      <c r="A586">
        <v>290</v>
      </c>
      <c r="B586" t="s">
        <v>1073</v>
      </c>
      <c r="C586">
        <v>13271</v>
      </c>
      <c r="D586" t="s">
        <v>1074</v>
      </c>
      <c r="E586" t="s">
        <v>248</v>
      </c>
      <c r="F586" t="s">
        <v>84</v>
      </c>
      <c r="G586" t="s">
        <v>1075</v>
      </c>
      <c r="H586" t="str">
        <f>"00497222"</f>
        <v>00497222</v>
      </c>
      <c r="I586">
        <v>907.5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Y586">
        <v>0</v>
      </c>
      <c r="Z586">
        <v>907.5</v>
      </c>
    </row>
    <row r="587" spans="1:26" x14ac:dyDescent="0.25">
      <c r="H587" t="s">
        <v>1076</v>
      </c>
    </row>
    <row r="588" spans="1:26" x14ac:dyDescent="0.25">
      <c r="A588">
        <v>291</v>
      </c>
      <c r="B588" t="s">
        <v>1077</v>
      </c>
      <c r="C588">
        <v>3091</v>
      </c>
      <c r="D588" t="s">
        <v>1078</v>
      </c>
      <c r="E588" t="s">
        <v>112</v>
      </c>
      <c r="F588" t="s">
        <v>73</v>
      </c>
      <c r="G588" t="s">
        <v>1079</v>
      </c>
      <c r="H588" t="str">
        <f>"201512000315"</f>
        <v>201512000315</v>
      </c>
      <c r="I588">
        <v>876.7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30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Y588">
        <v>2</v>
      </c>
      <c r="Z588">
        <v>906.7</v>
      </c>
    </row>
    <row r="589" spans="1:26" x14ac:dyDescent="0.25">
      <c r="H589" t="s">
        <v>1080</v>
      </c>
    </row>
    <row r="590" spans="1:26" x14ac:dyDescent="0.25">
      <c r="A590">
        <v>292</v>
      </c>
      <c r="C590">
        <v>5022</v>
      </c>
      <c r="D590" t="s">
        <v>1081</v>
      </c>
      <c r="E590" t="s">
        <v>902</v>
      </c>
      <c r="F590" t="s">
        <v>194</v>
      </c>
      <c r="G590" t="s">
        <v>1082</v>
      </c>
      <c r="H590" t="str">
        <f>"201107000040"</f>
        <v>201107000040</v>
      </c>
      <c r="I590">
        <v>786.5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70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50</v>
      </c>
      <c r="V590">
        <v>0</v>
      </c>
      <c r="W590">
        <v>0</v>
      </c>
      <c r="Y590">
        <v>0</v>
      </c>
      <c r="Z590">
        <v>906.5</v>
      </c>
    </row>
    <row r="591" spans="1:26" x14ac:dyDescent="0.25">
      <c r="H591" t="s">
        <v>1083</v>
      </c>
    </row>
    <row r="592" spans="1:26" x14ac:dyDescent="0.25">
      <c r="A592">
        <v>293</v>
      </c>
      <c r="C592">
        <v>7162</v>
      </c>
      <c r="D592" t="s">
        <v>1084</v>
      </c>
      <c r="E592" t="s">
        <v>112</v>
      </c>
      <c r="F592" t="s">
        <v>194</v>
      </c>
      <c r="G592" t="s">
        <v>1085</v>
      </c>
      <c r="H592" t="str">
        <f>"00193009"</f>
        <v>00193009</v>
      </c>
      <c r="I592">
        <v>845.9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30</v>
      </c>
      <c r="P592">
        <v>30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Y592">
        <v>0</v>
      </c>
      <c r="Z592">
        <v>905.9</v>
      </c>
    </row>
    <row r="593" spans="1:26" x14ac:dyDescent="0.25">
      <c r="H593" t="s">
        <v>1086</v>
      </c>
    </row>
    <row r="594" spans="1:26" x14ac:dyDescent="0.25">
      <c r="A594">
        <v>294</v>
      </c>
      <c r="C594">
        <v>17519</v>
      </c>
      <c r="D594" t="s">
        <v>1087</v>
      </c>
      <c r="E594" t="s">
        <v>755</v>
      </c>
      <c r="F594" t="s">
        <v>39</v>
      </c>
      <c r="G594" t="s">
        <v>1088</v>
      </c>
      <c r="H594" t="str">
        <f>"201511032752"</f>
        <v>201511032752</v>
      </c>
      <c r="I594">
        <v>855.8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50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Y594">
        <v>0</v>
      </c>
      <c r="Z594">
        <v>905.8</v>
      </c>
    </row>
    <row r="595" spans="1:26" x14ac:dyDescent="0.25">
      <c r="H595" t="s">
        <v>1089</v>
      </c>
    </row>
    <row r="596" spans="1:26" x14ac:dyDescent="0.25">
      <c r="A596">
        <v>295</v>
      </c>
      <c r="C596">
        <v>12262</v>
      </c>
      <c r="D596" t="s">
        <v>1090</v>
      </c>
      <c r="E596" t="s">
        <v>112</v>
      </c>
      <c r="F596" t="s">
        <v>73</v>
      </c>
      <c r="G596" t="s">
        <v>1091</v>
      </c>
      <c r="H596" t="str">
        <f>"00497023"</f>
        <v>00497023</v>
      </c>
      <c r="I596">
        <v>875.6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30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Y596">
        <v>2</v>
      </c>
      <c r="Z596">
        <v>905.6</v>
      </c>
    </row>
    <row r="597" spans="1:26" x14ac:dyDescent="0.25">
      <c r="H597" t="s">
        <v>1092</v>
      </c>
    </row>
    <row r="598" spans="1:26" x14ac:dyDescent="0.25">
      <c r="A598">
        <v>296</v>
      </c>
      <c r="C598">
        <v>3000</v>
      </c>
      <c r="D598" t="s">
        <v>1093</v>
      </c>
      <c r="E598" t="s">
        <v>1094</v>
      </c>
      <c r="F598" t="s">
        <v>51</v>
      </c>
      <c r="G598" t="s">
        <v>1095</v>
      </c>
      <c r="H598" t="str">
        <f>"201102000895"</f>
        <v>201102000895</v>
      </c>
      <c r="I598">
        <v>905.3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Y598">
        <v>0</v>
      </c>
      <c r="Z598">
        <v>905.3</v>
      </c>
    </row>
    <row r="599" spans="1:26" x14ac:dyDescent="0.25">
      <c r="H599" t="s">
        <v>1096</v>
      </c>
    </row>
    <row r="600" spans="1:26" x14ac:dyDescent="0.25">
      <c r="A600">
        <v>297</v>
      </c>
      <c r="C600">
        <v>10322</v>
      </c>
      <c r="D600" t="s">
        <v>1097</v>
      </c>
      <c r="E600" t="s">
        <v>1098</v>
      </c>
      <c r="F600" t="s">
        <v>194</v>
      </c>
      <c r="G600" t="s">
        <v>1099</v>
      </c>
      <c r="H600" t="str">
        <f>"201511011901"</f>
        <v>201511011901</v>
      </c>
      <c r="I600">
        <v>905.3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Y600">
        <v>0</v>
      </c>
      <c r="Z600">
        <v>905.3</v>
      </c>
    </row>
    <row r="601" spans="1:26" x14ac:dyDescent="0.25">
      <c r="H601" t="s">
        <v>1100</v>
      </c>
    </row>
    <row r="602" spans="1:26" x14ac:dyDescent="0.25">
      <c r="A602">
        <v>298</v>
      </c>
      <c r="C602">
        <v>13962</v>
      </c>
      <c r="D602" t="s">
        <v>1101</v>
      </c>
      <c r="E602" t="s">
        <v>430</v>
      </c>
      <c r="F602" t="s">
        <v>148</v>
      </c>
      <c r="G602" t="s">
        <v>1102</v>
      </c>
      <c r="H602" t="str">
        <f>"201511030151"</f>
        <v>201511030151</v>
      </c>
      <c r="I602">
        <v>834.9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70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Y602">
        <v>0</v>
      </c>
      <c r="Z602">
        <v>904.9</v>
      </c>
    </row>
    <row r="603" spans="1:26" x14ac:dyDescent="0.25">
      <c r="H603" t="s">
        <v>1103</v>
      </c>
    </row>
    <row r="604" spans="1:26" x14ac:dyDescent="0.25">
      <c r="A604">
        <v>299</v>
      </c>
      <c r="C604">
        <v>7063</v>
      </c>
      <c r="D604" t="s">
        <v>1104</v>
      </c>
      <c r="E604" t="s">
        <v>56</v>
      </c>
      <c r="F604" t="s">
        <v>194</v>
      </c>
      <c r="G604" t="s">
        <v>1105</v>
      </c>
      <c r="H604" t="str">
        <f>"201511026265"</f>
        <v>201511026265</v>
      </c>
      <c r="I604">
        <v>844.8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30</v>
      </c>
      <c r="P604">
        <v>0</v>
      </c>
      <c r="Q604">
        <v>0</v>
      </c>
      <c r="R604">
        <v>0</v>
      </c>
      <c r="S604">
        <v>30</v>
      </c>
      <c r="T604">
        <v>0</v>
      </c>
      <c r="U604">
        <v>0</v>
      </c>
      <c r="V604">
        <v>0</v>
      </c>
      <c r="W604">
        <v>0</v>
      </c>
      <c r="Y604">
        <v>0</v>
      </c>
      <c r="Z604">
        <v>904.8</v>
      </c>
    </row>
    <row r="605" spans="1:26" x14ac:dyDescent="0.25">
      <c r="H605" t="s">
        <v>1106</v>
      </c>
    </row>
    <row r="606" spans="1:26" x14ac:dyDescent="0.25">
      <c r="A606">
        <v>300</v>
      </c>
      <c r="C606">
        <v>6491</v>
      </c>
      <c r="D606" t="s">
        <v>1107</v>
      </c>
      <c r="E606" t="s">
        <v>1108</v>
      </c>
      <c r="F606" t="s">
        <v>1109</v>
      </c>
      <c r="G606" t="s">
        <v>1110</v>
      </c>
      <c r="H606" t="str">
        <f>"201511022797"</f>
        <v>201511022797</v>
      </c>
      <c r="I606">
        <v>873.4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30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Y606">
        <v>0</v>
      </c>
      <c r="Z606">
        <v>903.4</v>
      </c>
    </row>
    <row r="607" spans="1:26" x14ac:dyDescent="0.25">
      <c r="H607" t="s">
        <v>1111</v>
      </c>
    </row>
    <row r="608" spans="1:26" x14ac:dyDescent="0.25">
      <c r="A608">
        <v>301</v>
      </c>
      <c r="C608">
        <v>5673</v>
      </c>
      <c r="D608" t="s">
        <v>1112</v>
      </c>
      <c r="E608" t="s">
        <v>1113</v>
      </c>
      <c r="F608" t="s">
        <v>1114</v>
      </c>
      <c r="G608" t="s">
        <v>1115</v>
      </c>
      <c r="H608" t="str">
        <f>"00466708"</f>
        <v>00466708</v>
      </c>
      <c r="I608">
        <v>873.4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30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Y608">
        <v>0</v>
      </c>
      <c r="Z608">
        <v>903.4</v>
      </c>
    </row>
    <row r="609" spans="1:26" x14ac:dyDescent="0.25">
      <c r="H609" t="s">
        <v>1116</v>
      </c>
    </row>
    <row r="610" spans="1:26" x14ac:dyDescent="0.25">
      <c r="A610">
        <v>302</v>
      </c>
      <c r="C610">
        <v>12586</v>
      </c>
      <c r="D610" t="s">
        <v>1117</v>
      </c>
      <c r="E610" t="s">
        <v>346</v>
      </c>
      <c r="F610" t="s">
        <v>16</v>
      </c>
      <c r="G610" t="s">
        <v>1118</v>
      </c>
      <c r="H610" t="str">
        <f>"00155484"</f>
        <v>00155484</v>
      </c>
      <c r="I610">
        <v>752.4</v>
      </c>
      <c r="J610">
        <v>150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Y610">
        <v>0</v>
      </c>
      <c r="Z610">
        <v>902.4</v>
      </c>
    </row>
    <row r="611" spans="1:26" x14ac:dyDescent="0.25">
      <c r="H611" t="s">
        <v>1119</v>
      </c>
    </row>
    <row r="612" spans="1:26" x14ac:dyDescent="0.25">
      <c r="A612">
        <v>303</v>
      </c>
      <c r="C612">
        <v>9984</v>
      </c>
      <c r="D612" t="s">
        <v>1120</v>
      </c>
      <c r="E612" t="s">
        <v>132</v>
      </c>
      <c r="F612" t="s">
        <v>194</v>
      </c>
      <c r="G612" t="s">
        <v>1121</v>
      </c>
      <c r="H612" t="str">
        <f>"201511035330"</f>
        <v>201511035330</v>
      </c>
      <c r="I612">
        <v>872.3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30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Y612">
        <v>0</v>
      </c>
      <c r="Z612">
        <v>902.3</v>
      </c>
    </row>
    <row r="613" spans="1:26" x14ac:dyDescent="0.25">
      <c r="H613" t="s">
        <v>1122</v>
      </c>
    </row>
    <row r="614" spans="1:26" x14ac:dyDescent="0.25">
      <c r="A614">
        <v>304</v>
      </c>
      <c r="C614">
        <v>11917</v>
      </c>
      <c r="D614" t="s">
        <v>767</v>
      </c>
      <c r="E614" t="s">
        <v>38</v>
      </c>
      <c r="F614" t="s">
        <v>127</v>
      </c>
      <c r="G614" t="s">
        <v>1123</v>
      </c>
      <c r="H614" t="str">
        <f>"00479430"</f>
        <v>00479430</v>
      </c>
      <c r="I614">
        <v>902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Y614">
        <v>0</v>
      </c>
      <c r="Z614">
        <v>902</v>
      </c>
    </row>
    <row r="615" spans="1:26" x14ac:dyDescent="0.25">
      <c r="H615" t="s">
        <v>1124</v>
      </c>
    </row>
    <row r="616" spans="1:26" x14ac:dyDescent="0.25">
      <c r="A616">
        <v>305</v>
      </c>
      <c r="B616" t="s">
        <v>168</v>
      </c>
      <c r="C616">
        <v>13846</v>
      </c>
      <c r="D616" t="s">
        <v>1048</v>
      </c>
      <c r="E616" t="s">
        <v>1125</v>
      </c>
      <c r="F616" t="s">
        <v>194</v>
      </c>
      <c r="G616" t="s">
        <v>1126</v>
      </c>
      <c r="H616" t="str">
        <f>"201510000727"</f>
        <v>201510000727</v>
      </c>
      <c r="I616">
        <v>902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Y616">
        <v>1</v>
      </c>
      <c r="Z616">
        <v>902</v>
      </c>
    </row>
    <row r="617" spans="1:26" x14ac:dyDescent="0.25">
      <c r="H617" t="s">
        <v>1127</v>
      </c>
    </row>
    <row r="618" spans="1:26" x14ac:dyDescent="0.25">
      <c r="A618">
        <v>306</v>
      </c>
      <c r="C618">
        <v>8816</v>
      </c>
      <c r="D618" t="s">
        <v>1128</v>
      </c>
      <c r="E618" t="s">
        <v>112</v>
      </c>
      <c r="F618" t="s">
        <v>51</v>
      </c>
      <c r="G618" t="s">
        <v>1129</v>
      </c>
      <c r="H618" t="str">
        <f>"201511043170"</f>
        <v>201511043170</v>
      </c>
      <c r="I618">
        <v>831.6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70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Y618">
        <v>0</v>
      </c>
      <c r="Z618">
        <v>901.6</v>
      </c>
    </row>
    <row r="619" spans="1:26" x14ac:dyDescent="0.25">
      <c r="H619" t="s">
        <v>1130</v>
      </c>
    </row>
    <row r="620" spans="1:26" x14ac:dyDescent="0.25">
      <c r="A620">
        <v>307</v>
      </c>
      <c r="C620">
        <v>6517</v>
      </c>
      <c r="D620" t="s">
        <v>1131</v>
      </c>
      <c r="E620" t="s">
        <v>1132</v>
      </c>
      <c r="F620" t="s">
        <v>113</v>
      </c>
      <c r="G620" t="s">
        <v>1133</v>
      </c>
      <c r="H620" t="str">
        <f>"201511004646"</f>
        <v>201511004646</v>
      </c>
      <c r="I620">
        <v>831.6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70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Y620">
        <v>0</v>
      </c>
      <c r="Z620">
        <v>901.6</v>
      </c>
    </row>
    <row r="621" spans="1:26" x14ac:dyDescent="0.25">
      <c r="H621" t="s">
        <v>1134</v>
      </c>
    </row>
    <row r="622" spans="1:26" x14ac:dyDescent="0.25">
      <c r="A622">
        <v>308</v>
      </c>
      <c r="C622">
        <v>11728</v>
      </c>
      <c r="D622" t="s">
        <v>1135</v>
      </c>
      <c r="E622" t="s">
        <v>1136</v>
      </c>
      <c r="F622" t="s">
        <v>342</v>
      </c>
      <c r="G622" t="s">
        <v>1137</v>
      </c>
      <c r="H622" t="str">
        <f>"00495153"</f>
        <v>00495153</v>
      </c>
      <c r="I622">
        <v>871.2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30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Y622">
        <v>0</v>
      </c>
      <c r="Z622">
        <v>901.2</v>
      </c>
    </row>
    <row r="623" spans="1:26" x14ac:dyDescent="0.25">
      <c r="H623" t="s">
        <v>1138</v>
      </c>
    </row>
    <row r="624" spans="1:26" x14ac:dyDescent="0.25">
      <c r="A624">
        <v>309</v>
      </c>
      <c r="C624">
        <v>1062</v>
      </c>
      <c r="D624" t="s">
        <v>1139</v>
      </c>
      <c r="E624" t="s">
        <v>373</v>
      </c>
      <c r="F624" t="s">
        <v>133</v>
      </c>
      <c r="G624" t="s">
        <v>1140</v>
      </c>
      <c r="H624" t="str">
        <f>"201511011460"</f>
        <v>201511011460</v>
      </c>
      <c r="I624">
        <v>900.9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Y624">
        <v>0</v>
      </c>
      <c r="Z624">
        <v>900.9</v>
      </c>
    </row>
    <row r="625" spans="1:26" x14ac:dyDescent="0.25">
      <c r="H625" t="s">
        <v>1141</v>
      </c>
    </row>
    <row r="626" spans="1:26" x14ac:dyDescent="0.25">
      <c r="A626">
        <v>310</v>
      </c>
      <c r="C626">
        <v>16758</v>
      </c>
      <c r="D626" t="s">
        <v>1142</v>
      </c>
      <c r="E626" t="s">
        <v>415</v>
      </c>
      <c r="F626" t="s">
        <v>84</v>
      </c>
      <c r="G626" t="s">
        <v>1143</v>
      </c>
      <c r="H626" t="str">
        <f>"201511028375"</f>
        <v>201511028375</v>
      </c>
      <c r="I626">
        <v>900.9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Y626">
        <v>0</v>
      </c>
      <c r="Z626">
        <v>900.9</v>
      </c>
    </row>
    <row r="627" spans="1:26" x14ac:dyDescent="0.25">
      <c r="H627" t="s">
        <v>1144</v>
      </c>
    </row>
    <row r="628" spans="1:26" x14ac:dyDescent="0.25">
      <c r="A628">
        <v>311</v>
      </c>
      <c r="C628">
        <v>12517</v>
      </c>
      <c r="D628" t="s">
        <v>1145</v>
      </c>
      <c r="E628" t="s">
        <v>365</v>
      </c>
      <c r="F628" t="s">
        <v>78</v>
      </c>
      <c r="G628" t="s">
        <v>1146</v>
      </c>
      <c r="H628" t="str">
        <f>"201510004639"</f>
        <v>201510004639</v>
      </c>
      <c r="I628">
        <v>900.9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Y628">
        <v>0</v>
      </c>
      <c r="Z628">
        <v>900.9</v>
      </c>
    </row>
    <row r="629" spans="1:26" x14ac:dyDescent="0.25">
      <c r="H629" t="s">
        <v>1147</v>
      </c>
    </row>
    <row r="630" spans="1:26" x14ac:dyDescent="0.25">
      <c r="A630">
        <v>312</v>
      </c>
      <c r="C630">
        <v>2399</v>
      </c>
      <c r="D630" t="s">
        <v>1148</v>
      </c>
      <c r="E630" t="s">
        <v>252</v>
      </c>
      <c r="F630" t="s">
        <v>39</v>
      </c>
      <c r="G630" t="s">
        <v>1149</v>
      </c>
      <c r="H630" t="str">
        <f>"00027594"</f>
        <v>00027594</v>
      </c>
      <c r="I630">
        <v>870.1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30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Y630">
        <v>0</v>
      </c>
      <c r="Z630">
        <v>900.1</v>
      </c>
    </row>
    <row r="631" spans="1:26" x14ac:dyDescent="0.25">
      <c r="H631" t="s">
        <v>1150</v>
      </c>
    </row>
    <row r="632" spans="1:26" x14ac:dyDescent="0.25">
      <c r="A632">
        <v>313</v>
      </c>
      <c r="C632">
        <v>10130</v>
      </c>
      <c r="D632" t="s">
        <v>1151</v>
      </c>
      <c r="E632" t="s">
        <v>264</v>
      </c>
      <c r="F632" t="s">
        <v>194</v>
      </c>
      <c r="G632" t="s">
        <v>1152</v>
      </c>
      <c r="H632" t="str">
        <f>"00021727"</f>
        <v>00021727</v>
      </c>
      <c r="I632">
        <v>870.1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30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Y632">
        <v>0</v>
      </c>
      <c r="Z632">
        <v>900.1</v>
      </c>
    </row>
    <row r="633" spans="1:26" x14ac:dyDescent="0.25">
      <c r="H633" t="s">
        <v>1153</v>
      </c>
    </row>
    <row r="634" spans="1:26" x14ac:dyDescent="0.25">
      <c r="A634">
        <v>314</v>
      </c>
      <c r="C634">
        <v>12978</v>
      </c>
      <c r="D634" t="s">
        <v>1154</v>
      </c>
      <c r="E634" t="s">
        <v>1155</v>
      </c>
      <c r="F634" t="s">
        <v>126</v>
      </c>
      <c r="G634" t="s">
        <v>1156</v>
      </c>
      <c r="H634" t="str">
        <f>"201511008438"</f>
        <v>201511008438</v>
      </c>
      <c r="I634">
        <v>870.1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30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Y634">
        <v>0</v>
      </c>
      <c r="Z634">
        <v>900.1</v>
      </c>
    </row>
    <row r="635" spans="1:26" x14ac:dyDescent="0.25">
      <c r="H635" t="s">
        <v>1157</v>
      </c>
    </row>
    <row r="636" spans="1:26" x14ac:dyDescent="0.25">
      <c r="A636">
        <v>315</v>
      </c>
      <c r="C636">
        <v>4707</v>
      </c>
      <c r="D636" t="s">
        <v>197</v>
      </c>
      <c r="E636" t="s">
        <v>1158</v>
      </c>
      <c r="F636" t="s">
        <v>240</v>
      </c>
      <c r="G636" t="s">
        <v>1159</v>
      </c>
      <c r="H636" t="str">
        <f>"00482531"</f>
        <v>00482531</v>
      </c>
      <c r="I636">
        <v>869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30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Y636">
        <v>0</v>
      </c>
      <c r="Z636">
        <v>899</v>
      </c>
    </row>
    <row r="637" spans="1:26" x14ac:dyDescent="0.25">
      <c r="H637" t="s">
        <v>1160</v>
      </c>
    </row>
    <row r="638" spans="1:26" x14ac:dyDescent="0.25">
      <c r="A638">
        <v>316</v>
      </c>
      <c r="C638">
        <v>3184</v>
      </c>
      <c r="D638" t="s">
        <v>1161</v>
      </c>
      <c r="E638" t="s">
        <v>16</v>
      </c>
      <c r="F638" t="s">
        <v>268</v>
      </c>
      <c r="G638" t="s">
        <v>1162</v>
      </c>
      <c r="H638" t="str">
        <f>"201502001633"</f>
        <v>201502001633</v>
      </c>
      <c r="I638">
        <v>898.7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Y638">
        <v>0</v>
      </c>
      <c r="Z638">
        <v>898.7</v>
      </c>
    </row>
    <row r="639" spans="1:26" x14ac:dyDescent="0.25">
      <c r="H639" t="s">
        <v>1163</v>
      </c>
    </row>
    <row r="640" spans="1:26" x14ac:dyDescent="0.25">
      <c r="A640">
        <v>317</v>
      </c>
      <c r="C640">
        <v>12943</v>
      </c>
      <c r="D640" t="s">
        <v>1164</v>
      </c>
      <c r="E640" t="s">
        <v>98</v>
      </c>
      <c r="F640" t="s">
        <v>16</v>
      </c>
      <c r="G640" t="s">
        <v>1165</v>
      </c>
      <c r="H640" t="str">
        <f>"201511028307"</f>
        <v>201511028307</v>
      </c>
      <c r="I640">
        <v>897.6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Y640">
        <v>0</v>
      </c>
      <c r="Z640">
        <v>897.6</v>
      </c>
    </row>
    <row r="641" spans="1:26" x14ac:dyDescent="0.25">
      <c r="H641" t="s">
        <v>1166</v>
      </c>
    </row>
    <row r="642" spans="1:26" x14ac:dyDescent="0.25">
      <c r="A642">
        <v>318</v>
      </c>
      <c r="C642">
        <v>2172</v>
      </c>
      <c r="D642" t="s">
        <v>1167</v>
      </c>
      <c r="E642" t="s">
        <v>112</v>
      </c>
      <c r="F642" t="s">
        <v>16</v>
      </c>
      <c r="G642" t="s">
        <v>1168</v>
      </c>
      <c r="H642" t="str">
        <f>"00227824"</f>
        <v>00227824</v>
      </c>
      <c r="I642">
        <v>866.8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30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Y642">
        <v>0</v>
      </c>
      <c r="Z642">
        <v>896.8</v>
      </c>
    </row>
    <row r="643" spans="1:26" x14ac:dyDescent="0.25">
      <c r="H643" t="s">
        <v>1169</v>
      </c>
    </row>
    <row r="644" spans="1:26" x14ac:dyDescent="0.25">
      <c r="A644">
        <v>319</v>
      </c>
      <c r="C644">
        <v>13411</v>
      </c>
      <c r="D644" t="s">
        <v>1170</v>
      </c>
      <c r="E644" t="s">
        <v>275</v>
      </c>
      <c r="F644" t="s">
        <v>1171</v>
      </c>
      <c r="G644" t="s">
        <v>1172</v>
      </c>
      <c r="H644" t="str">
        <f>"201410012530"</f>
        <v>201410012530</v>
      </c>
      <c r="I644">
        <v>866.8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30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Y644">
        <v>0</v>
      </c>
      <c r="Z644">
        <v>896.8</v>
      </c>
    </row>
    <row r="645" spans="1:26" x14ac:dyDescent="0.25">
      <c r="H645" t="s">
        <v>1173</v>
      </c>
    </row>
    <row r="646" spans="1:26" x14ac:dyDescent="0.25">
      <c r="A646">
        <v>320</v>
      </c>
      <c r="C646">
        <v>15095</v>
      </c>
      <c r="D646" t="s">
        <v>1174</v>
      </c>
      <c r="E646" t="s">
        <v>1175</v>
      </c>
      <c r="F646" t="s">
        <v>965</v>
      </c>
      <c r="G646" t="s">
        <v>1176</v>
      </c>
      <c r="H646" t="str">
        <f>"00093551"</f>
        <v>00093551</v>
      </c>
      <c r="I646">
        <v>866.8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Y646">
        <v>0</v>
      </c>
      <c r="Z646">
        <v>896.8</v>
      </c>
    </row>
    <row r="647" spans="1:26" x14ac:dyDescent="0.25">
      <c r="H647" t="s">
        <v>1177</v>
      </c>
    </row>
    <row r="648" spans="1:26" x14ac:dyDescent="0.25">
      <c r="A648">
        <v>321</v>
      </c>
      <c r="C648">
        <v>6518</v>
      </c>
      <c r="D648" t="s">
        <v>1178</v>
      </c>
      <c r="E648" t="s">
        <v>84</v>
      </c>
      <c r="F648" t="s">
        <v>73</v>
      </c>
      <c r="G648" t="s">
        <v>1179</v>
      </c>
      <c r="H648" t="str">
        <f>"00079341"</f>
        <v>00079341</v>
      </c>
      <c r="I648">
        <v>865.7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30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Y648">
        <v>0</v>
      </c>
      <c r="Z648">
        <v>895.7</v>
      </c>
    </row>
    <row r="649" spans="1:26" x14ac:dyDescent="0.25">
      <c r="H649" t="s">
        <v>1180</v>
      </c>
    </row>
    <row r="650" spans="1:26" x14ac:dyDescent="0.25">
      <c r="A650">
        <v>322</v>
      </c>
      <c r="C650">
        <v>11429</v>
      </c>
      <c r="D650" t="s">
        <v>1181</v>
      </c>
      <c r="E650" t="s">
        <v>138</v>
      </c>
      <c r="F650" t="s">
        <v>551</v>
      </c>
      <c r="G650" t="s">
        <v>1182</v>
      </c>
      <c r="H650" t="str">
        <f>"00029078"</f>
        <v>00029078</v>
      </c>
      <c r="I650">
        <v>865.7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30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Y650">
        <v>0</v>
      </c>
      <c r="Z650">
        <v>895.7</v>
      </c>
    </row>
    <row r="651" spans="1:26" x14ac:dyDescent="0.25">
      <c r="H651" t="s">
        <v>1183</v>
      </c>
    </row>
    <row r="652" spans="1:26" x14ac:dyDescent="0.25">
      <c r="A652">
        <v>323</v>
      </c>
      <c r="C652">
        <v>4902</v>
      </c>
      <c r="D652" t="s">
        <v>1184</v>
      </c>
      <c r="E652" t="s">
        <v>248</v>
      </c>
      <c r="F652" t="s">
        <v>73</v>
      </c>
      <c r="G652" t="s">
        <v>1185</v>
      </c>
      <c r="H652" t="str">
        <f>"00488157"</f>
        <v>00488157</v>
      </c>
      <c r="I652">
        <v>865.7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30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Y652">
        <v>0</v>
      </c>
      <c r="Z652">
        <v>895.7</v>
      </c>
    </row>
    <row r="653" spans="1:26" x14ac:dyDescent="0.25">
      <c r="H653" t="s">
        <v>1186</v>
      </c>
    </row>
    <row r="654" spans="1:26" x14ac:dyDescent="0.25">
      <c r="A654">
        <v>324</v>
      </c>
      <c r="C654">
        <v>8566</v>
      </c>
      <c r="D654" t="s">
        <v>1187</v>
      </c>
      <c r="E654" t="s">
        <v>235</v>
      </c>
      <c r="F654" t="s">
        <v>236</v>
      </c>
      <c r="G654" t="s">
        <v>1188</v>
      </c>
      <c r="H654" t="str">
        <f>"00724709"</f>
        <v>00724709</v>
      </c>
      <c r="I654">
        <v>825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70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Y654">
        <v>0</v>
      </c>
      <c r="Z654">
        <v>895</v>
      </c>
    </row>
    <row r="655" spans="1:26" x14ac:dyDescent="0.25">
      <c r="H655" t="s">
        <v>1189</v>
      </c>
    </row>
    <row r="656" spans="1:26" x14ac:dyDescent="0.25">
      <c r="A656">
        <v>325</v>
      </c>
      <c r="C656">
        <v>10059</v>
      </c>
      <c r="D656" t="s">
        <v>1190</v>
      </c>
      <c r="E656" t="s">
        <v>284</v>
      </c>
      <c r="F656" t="s">
        <v>346</v>
      </c>
      <c r="G656" t="s">
        <v>1191</v>
      </c>
      <c r="H656" t="str">
        <f>"201511007762"</f>
        <v>201511007762</v>
      </c>
      <c r="I656">
        <v>864.6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Y656">
        <v>0</v>
      </c>
      <c r="Z656">
        <v>894.6</v>
      </c>
    </row>
    <row r="657" spans="1:26" x14ac:dyDescent="0.25">
      <c r="H657" t="s">
        <v>1192</v>
      </c>
    </row>
    <row r="658" spans="1:26" x14ac:dyDescent="0.25">
      <c r="A658">
        <v>326</v>
      </c>
      <c r="C658">
        <v>9470</v>
      </c>
      <c r="D658" t="s">
        <v>1193</v>
      </c>
      <c r="E658" t="s">
        <v>365</v>
      </c>
      <c r="F658" t="s">
        <v>204</v>
      </c>
      <c r="G658" t="s">
        <v>1194</v>
      </c>
      <c r="H658" t="str">
        <f>"201511034574"</f>
        <v>201511034574</v>
      </c>
      <c r="I658">
        <v>823.9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70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Y658">
        <v>0</v>
      </c>
      <c r="Z658">
        <v>893.9</v>
      </c>
    </row>
    <row r="659" spans="1:26" x14ac:dyDescent="0.25">
      <c r="H659" t="s">
        <v>1195</v>
      </c>
    </row>
    <row r="660" spans="1:26" x14ac:dyDescent="0.25">
      <c r="A660">
        <v>327</v>
      </c>
      <c r="C660">
        <v>4986</v>
      </c>
      <c r="D660" t="s">
        <v>1196</v>
      </c>
      <c r="E660" t="s">
        <v>634</v>
      </c>
      <c r="F660" t="s">
        <v>51</v>
      </c>
      <c r="G660" t="s">
        <v>1197</v>
      </c>
      <c r="H660" t="str">
        <f>"00725910"</f>
        <v>00725910</v>
      </c>
      <c r="I660">
        <v>863.5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30</v>
      </c>
      <c r="U660">
        <v>0</v>
      </c>
      <c r="V660">
        <v>0</v>
      </c>
      <c r="W660">
        <v>0</v>
      </c>
      <c r="Y660">
        <v>0</v>
      </c>
      <c r="Z660">
        <v>893.5</v>
      </c>
    </row>
    <row r="661" spans="1:26" x14ac:dyDescent="0.25">
      <c r="H661" t="s">
        <v>1198</v>
      </c>
    </row>
    <row r="662" spans="1:26" x14ac:dyDescent="0.25">
      <c r="A662">
        <v>328</v>
      </c>
      <c r="C662">
        <v>3847</v>
      </c>
      <c r="D662" t="s">
        <v>1199</v>
      </c>
      <c r="E662" t="s">
        <v>248</v>
      </c>
      <c r="F662" t="s">
        <v>842</v>
      </c>
      <c r="G662" t="s">
        <v>1200</v>
      </c>
      <c r="H662" t="str">
        <f>"200805001236"</f>
        <v>200805001236</v>
      </c>
      <c r="I662">
        <v>863.5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30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Y662">
        <v>0</v>
      </c>
      <c r="Z662">
        <v>893.5</v>
      </c>
    </row>
    <row r="663" spans="1:26" x14ac:dyDescent="0.25">
      <c r="H663" t="s">
        <v>1201</v>
      </c>
    </row>
    <row r="664" spans="1:26" x14ac:dyDescent="0.25">
      <c r="A664">
        <v>329</v>
      </c>
      <c r="C664">
        <v>7597</v>
      </c>
      <c r="D664" t="s">
        <v>1202</v>
      </c>
      <c r="E664" t="s">
        <v>248</v>
      </c>
      <c r="F664" t="s">
        <v>122</v>
      </c>
      <c r="G664" t="s">
        <v>1203</v>
      </c>
      <c r="H664" t="str">
        <f>"00485888"</f>
        <v>00485888</v>
      </c>
      <c r="I664">
        <v>893.2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Y664">
        <v>0</v>
      </c>
      <c r="Z664">
        <v>893.2</v>
      </c>
    </row>
    <row r="665" spans="1:26" x14ac:dyDescent="0.25">
      <c r="H665" t="s">
        <v>1204</v>
      </c>
    </row>
    <row r="666" spans="1:26" x14ac:dyDescent="0.25">
      <c r="A666">
        <v>330</v>
      </c>
      <c r="C666">
        <v>11068</v>
      </c>
      <c r="D666" t="s">
        <v>1205</v>
      </c>
      <c r="E666" t="s">
        <v>1206</v>
      </c>
      <c r="F666" t="s">
        <v>456</v>
      </c>
      <c r="G666" t="s">
        <v>1207</v>
      </c>
      <c r="H666" t="str">
        <f>"201511030910"</f>
        <v>201511030910</v>
      </c>
      <c r="I666">
        <v>842.6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50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Y666">
        <v>0</v>
      </c>
      <c r="Z666">
        <v>892.6</v>
      </c>
    </row>
    <row r="667" spans="1:26" x14ac:dyDescent="0.25">
      <c r="H667" t="s">
        <v>1208</v>
      </c>
    </row>
    <row r="668" spans="1:26" x14ac:dyDescent="0.25">
      <c r="A668">
        <v>331</v>
      </c>
      <c r="C668">
        <v>2513</v>
      </c>
      <c r="D668" t="s">
        <v>1209</v>
      </c>
      <c r="E668" t="s">
        <v>264</v>
      </c>
      <c r="F668" t="s">
        <v>127</v>
      </c>
      <c r="G668" t="s">
        <v>1210</v>
      </c>
      <c r="H668" t="str">
        <f>"201102000640"</f>
        <v>201102000640</v>
      </c>
      <c r="I668">
        <v>862.4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Y668">
        <v>0</v>
      </c>
      <c r="Z668">
        <v>892.4</v>
      </c>
    </row>
    <row r="669" spans="1:26" x14ac:dyDescent="0.25">
      <c r="H669" t="s">
        <v>1211</v>
      </c>
    </row>
    <row r="670" spans="1:26" x14ac:dyDescent="0.25">
      <c r="A670">
        <v>332</v>
      </c>
      <c r="C670">
        <v>6556</v>
      </c>
      <c r="D670" t="s">
        <v>1212</v>
      </c>
      <c r="E670" t="s">
        <v>73</v>
      </c>
      <c r="F670" t="s">
        <v>148</v>
      </c>
      <c r="G670" t="s">
        <v>1213</v>
      </c>
      <c r="H670" t="str">
        <f>"00499307"</f>
        <v>00499307</v>
      </c>
      <c r="I670">
        <v>862.4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30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Y670">
        <v>0</v>
      </c>
      <c r="Z670">
        <v>892.4</v>
      </c>
    </row>
    <row r="671" spans="1:26" x14ac:dyDescent="0.25">
      <c r="H671" t="s">
        <v>1214</v>
      </c>
    </row>
    <row r="672" spans="1:26" x14ac:dyDescent="0.25">
      <c r="A672">
        <v>333</v>
      </c>
      <c r="C672">
        <v>8867</v>
      </c>
      <c r="D672" t="s">
        <v>1215</v>
      </c>
      <c r="E672" t="s">
        <v>1216</v>
      </c>
      <c r="F672" t="s">
        <v>51</v>
      </c>
      <c r="G672" t="s">
        <v>1217</v>
      </c>
      <c r="H672" t="str">
        <f>"201412001270"</f>
        <v>201412001270</v>
      </c>
      <c r="I672">
        <v>792</v>
      </c>
      <c r="J672">
        <v>0</v>
      </c>
      <c r="K672">
        <v>0</v>
      </c>
      <c r="L672">
        <v>0</v>
      </c>
      <c r="M672">
        <v>0</v>
      </c>
      <c r="N672">
        <v>100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Y672">
        <v>0</v>
      </c>
      <c r="Z672">
        <v>892</v>
      </c>
    </row>
    <row r="673" spans="1:26" x14ac:dyDescent="0.25">
      <c r="H673" t="s">
        <v>1218</v>
      </c>
    </row>
    <row r="674" spans="1:26" x14ac:dyDescent="0.25">
      <c r="A674">
        <v>334</v>
      </c>
      <c r="C674">
        <v>2999</v>
      </c>
      <c r="D674" t="s">
        <v>1219</v>
      </c>
      <c r="E674" t="s">
        <v>1220</v>
      </c>
      <c r="F674" t="s">
        <v>1221</v>
      </c>
      <c r="G674" t="s">
        <v>1222</v>
      </c>
      <c r="H674" t="str">
        <f>"201511015754"</f>
        <v>201511015754</v>
      </c>
      <c r="I674">
        <v>821.7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70</v>
      </c>
      <c r="V674">
        <v>0</v>
      </c>
      <c r="W674">
        <v>0</v>
      </c>
      <c r="Y674">
        <v>0</v>
      </c>
      <c r="Z674">
        <v>891.7</v>
      </c>
    </row>
    <row r="675" spans="1:26" x14ac:dyDescent="0.25">
      <c r="H675" t="s">
        <v>1223</v>
      </c>
    </row>
    <row r="676" spans="1:26" x14ac:dyDescent="0.25">
      <c r="A676">
        <v>335</v>
      </c>
      <c r="C676">
        <v>8094</v>
      </c>
      <c r="D676" t="s">
        <v>1224</v>
      </c>
      <c r="E676" t="s">
        <v>1225</v>
      </c>
      <c r="F676" t="s">
        <v>194</v>
      </c>
      <c r="G676" t="s">
        <v>1226</v>
      </c>
      <c r="H676" t="str">
        <f>"00725307"</f>
        <v>00725307</v>
      </c>
      <c r="I676">
        <v>821.7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70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Y676">
        <v>0</v>
      </c>
      <c r="Z676">
        <v>891.7</v>
      </c>
    </row>
    <row r="677" spans="1:26" x14ac:dyDescent="0.25">
      <c r="H677" t="s">
        <v>1227</v>
      </c>
    </row>
    <row r="678" spans="1:26" x14ac:dyDescent="0.25">
      <c r="A678">
        <v>336</v>
      </c>
      <c r="C678">
        <v>13192</v>
      </c>
      <c r="D678" t="s">
        <v>1228</v>
      </c>
      <c r="E678" t="s">
        <v>1229</v>
      </c>
      <c r="F678" t="s">
        <v>39</v>
      </c>
      <c r="G678" t="s">
        <v>1230</v>
      </c>
      <c r="H678" t="str">
        <f>"201511028658"</f>
        <v>201511028658</v>
      </c>
      <c r="I678">
        <v>841.5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50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Y678">
        <v>0</v>
      </c>
      <c r="Z678">
        <v>891.5</v>
      </c>
    </row>
    <row r="679" spans="1:26" x14ac:dyDescent="0.25">
      <c r="H679" t="s">
        <v>1231</v>
      </c>
    </row>
    <row r="680" spans="1:26" x14ac:dyDescent="0.25">
      <c r="A680">
        <v>337</v>
      </c>
      <c r="C680">
        <v>7601</v>
      </c>
      <c r="D680" t="s">
        <v>1232</v>
      </c>
      <c r="E680" t="s">
        <v>16</v>
      </c>
      <c r="F680" t="s">
        <v>73</v>
      </c>
      <c r="G680" t="s">
        <v>1233</v>
      </c>
      <c r="H680" t="str">
        <f>"00734940"</f>
        <v>00734940</v>
      </c>
      <c r="I680">
        <v>841.5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50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Y680">
        <v>0</v>
      </c>
      <c r="Z680">
        <v>891.5</v>
      </c>
    </row>
    <row r="681" spans="1:26" x14ac:dyDescent="0.25">
      <c r="H681" t="s">
        <v>1234</v>
      </c>
    </row>
    <row r="682" spans="1:26" x14ac:dyDescent="0.25">
      <c r="A682">
        <v>338</v>
      </c>
      <c r="B682" t="s">
        <v>494</v>
      </c>
      <c r="C682">
        <v>3743</v>
      </c>
      <c r="D682" t="s">
        <v>1235</v>
      </c>
      <c r="E682" t="s">
        <v>755</v>
      </c>
      <c r="F682" t="s">
        <v>84</v>
      </c>
      <c r="G682" t="s">
        <v>1236</v>
      </c>
      <c r="H682" t="str">
        <f>"00024850"</f>
        <v>00024850</v>
      </c>
      <c r="I682">
        <v>861.3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30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Y682">
        <v>1</v>
      </c>
      <c r="Z682">
        <v>891.3</v>
      </c>
    </row>
    <row r="683" spans="1:26" x14ac:dyDescent="0.25">
      <c r="H683" t="s">
        <v>1237</v>
      </c>
    </row>
    <row r="684" spans="1:26" x14ac:dyDescent="0.25">
      <c r="A684">
        <v>339</v>
      </c>
      <c r="C684">
        <v>11284</v>
      </c>
      <c r="D684" t="s">
        <v>1238</v>
      </c>
      <c r="E684" t="s">
        <v>256</v>
      </c>
      <c r="F684" t="s">
        <v>39</v>
      </c>
      <c r="G684" t="s">
        <v>1239</v>
      </c>
      <c r="H684" t="str">
        <f>"00021339"</f>
        <v>00021339</v>
      </c>
      <c r="I684">
        <v>861.3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30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Y684">
        <v>0</v>
      </c>
      <c r="Z684">
        <v>891.3</v>
      </c>
    </row>
    <row r="685" spans="1:26" x14ac:dyDescent="0.25">
      <c r="H685" t="s">
        <v>1240</v>
      </c>
    </row>
    <row r="686" spans="1:26" x14ac:dyDescent="0.25">
      <c r="A686">
        <v>340</v>
      </c>
      <c r="C686">
        <v>13157</v>
      </c>
      <c r="D686" t="s">
        <v>1241</v>
      </c>
      <c r="E686" t="s">
        <v>1242</v>
      </c>
      <c r="F686" t="s">
        <v>73</v>
      </c>
      <c r="G686" t="s">
        <v>1243</v>
      </c>
      <c r="H686" t="str">
        <f>"00736357"</f>
        <v>00736357</v>
      </c>
      <c r="I686">
        <v>891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Y686">
        <v>2</v>
      </c>
      <c r="Z686">
        <v>891</v>
      </c>
    </row>
    <row r="687" spans="1:26" x14ac:dyDescent="0.25">
      <c r="H687" t="s">
        <v>1244</v>
      </c>
    </row>
    <row r="688" spans="1:26" x14ac:dyDescent="0.25">
      <c r="A688">
        <v>341</v>
      </c>
      <c r="C688">
        <v>9637</v>
      </c>
      <c r="D688" t="s">
        <v>1245</v>
      </c>
      <c r="E688" t="s">
        <v>112</v>
      </c>
      <c r="F688" t="s">
        <v>1246</v>
      </c>
      <c r="G688" t="s">
        <v>1247</v>
      </c>
      <c r="H688" t="str">
        <f>"00494012"</f>
        <v>00494012</v>
      </c>
      <c r="I688">
        <v>820.6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70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Y688">
        <v>1</v>
      </c>
      <c r="Z688">
        <v>890.6</v>
      </c>
    </row>
    <row r="689" spans="1:26" x14ac:dyDescent="0.25">
      <c r="H689" t="s">
        <v>1248</v>
      </c>
    </row>
    <row r="690" spans="1:26" x14ac:dyDescent="0.25">
      <c r="A690">
        <v>342</v>
      </c>
      <c r="C690">
        <v>7265</v>
      </c>
      <c r="D690" t="s">
        <v>1249</v>
      </c>
      <c r="E690" t="s">
        <v>399</v>
      </c>
      <c r="F690" t="s">
        <v>346</v>
      </c>
      <c r="G690" t="s">
        <v>1250</v>
      </c>
      <c r="H690" t="str">
        <f>"00086679"</f>
        <v>00086679</v>
      </c>
      <c r="I690">
        <v>860.2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30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Y690">
        <v>0</v>
      </c>
      <c r="Z690">
        <v>890.2</v>
      </c>
    </row>
    <row r="691" spans="1:26" x14ac:dyDescent="0.25">
      <c r="H691" t="s">
        <v>1251</v>
      </c>
    </row>
    <row r="692" spans="1:26" x14ac:dyDescent="0.25">
      <c r="A692">
        <v>343</v>
      </c>
      <c r="C692">
        <v>2233</v>
      </c>
      <c r="D692" t="s">
        <v>1252</v>
      </c>
      <c r="E692" t="s">
        <v>235</v>
      </c>
      <c r="F692" t="s">
        <v>144</v>
      </c>
      <c r="G692" t="s">
        <v>1253</v>
      </c>
      <c r="H692" t="str">
        <f>"201511038226"</f>
        <v>201511038226</v>
      </c>
      <c r="I692">
        <v>839.3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50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Y692">
        <v>0</v>
      </c>
      <c r="Z692">
        <v>889.3</v>
      </c>
    </row>
    <row r="693" spans="1:26" x14ac:dyDescent="0.25">
      <c r="H693" t="s">
        <v>1254</v>
      </c>
    </row>
    <row r="694" spans="1:26" x14ac:dyDescent="0.25">
      <c r="A694">
        <v>344</v>
      </c>
      <c r="C694">
        <v>3989</v>
      </c>
      <c r="D694" t="s">
        <v>369</v>
      </c>
      <c r="E694" t="s">
        <v>170</v>
      </c>
      <c r="F694" t="s">
        <v>1255</v>
      </c>
      <c r="G694" t="s">
        <v>1256</v>
      </c>
      <c r="H694" t="str">
        <f>"201511018381"</f>
        <v>201511018381</v>
      </c>
      <c r="I694">
        <v>859.1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30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Y694">
        <v>0</v>
      </c>
      <c r="Z694">
        <v>889.1</v>
      </c>
    </row>
    <row r="695" spans="1:26" x14ac:dyDescent="0.25">
      <c r="H695" t="s">
        <v>1257</v>
      </c>
    </row>
    <row r="696" spans="1:26" x14ac:dyDescent="0.25">
      <c r="A696">
        <v>345</v>
      </c>
      <c r="C696">
        <v>2934</v>
      </c>
      <c r="D696" t="s">
        <v>1258</v>
      </c>
      <c r="E696" t="s">
        <v>1259</v>
      </c>
      <c r="F696" t="s">
        <v>113</v>
      </c>
      <c r="G696" t="s">
        <v>1260</v>
      </c>
      <c r="H696" t="str">
        <f>"00482709"</f>
        <v>00482709</v>
      </c>
      <c r="I696">
        <v>859.1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30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Y696">
        <v>0</v>
      </c>
      <c r="Z696">
        <v>889.1</v>
      </c>
    </row>
    <row r="697" spans="1:26" x14ac:dyDescent="0.25">
      <c r="H697" t="s">
        <v>1261</v>
      </c>
    </row>
    <row r="698" spans="1:26" x14ac:dyDescent="0.25">
      <c r="A698">
        <v>346</v>
      </c>
      <c r="C698">
        <v>14958</v>
      </c>
      <c r="D698" t="s">
        <v>1262</v>
      </c>
      <c r="E698" t="s">
        <v>1263</v>
      </c>
      <c r="F698" t="s">
        <v>1264</v>
      </c>
      <c r="G698" t="s">
        <v>1265</v>
      </c>
      <c r="H698" t="str">
        <f>"00503314"</f>
        <v>00503314</v>
      </c>
      <c r="I698">
        <v>888.8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Y698">
        <v>2</v>
      </c>
      <c r="Z698">
        <v>888.8</v>
      </c>
    </row>
    <row r="699" spans="1:26" x14ac:dyDescent="0.25">
      <c r="H699" t="s">
        <v>1266</v>
      </c>
    </row>
    <row r="700" spans="1:26" x14ac:dyDescent="0.25">
      <c r="A700">
        <v>347</v>
      </c>
      <c r="C700">
        <v>13200</v>
      </c>
      <c r="D700" t="s">
        <v>1267</v>
      </c>
      <c r="E700" t="s">
        <v>38</v>
      </c>
      <c r="F700" t="s">
        <v>45</v>
      </c>
      <c r="G700" t="s">
        <v>1268</v>
      </c>
      <c r="H700" t="str">
        <f>"00490714"</f>
        <v>00490714</v>
      </c>
      <c r="I700">
        <v>858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30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Y700">
        <v>2</v>
      </c>
      <c r="Z700">
        <v>888</v>
      </c>
    </row>
    <row r="701" spans="1:26" x14ac:dyDescent="0.25">
      <c r="H701" t="s">
        <v>1269</v>
      </c>
    </row>
    <row r="702" spans="1:26" x14ac:dyDescent="0.25">
      <c r="A702">
        <v>348</v>
      </c>
      <c r="C702">
        <v>14922</v>
      </c>
      <c r="D702" t="s">
        <v>1270</v>
      </c>
      <c r="E702" t="s">
        <v>90</v>
      </c>
      <c r="F702" t="s">
        <v>51</v>
      </c>
      <c r="G702" t="s">
        <v>1271</v>
      </c>
      <c r="H702" t="str">
        <f>"201102000109"</f>
        <v>201102000109</v>
      </c>
      <c r="I702">
        <v>858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30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Y702">
        <v>0</v>
      </c>
      <c r="Z702">
        <v>888</v>
      </c>
    </row>
    <row r="703" spans="1:26" x14ac:dyDescent="0.25">
      <c r="H703" t="s">
        <v>1272</v>
      </c>
    </row>
    <row r="704" spans="1:26" x14ac:dyDescent="0.25">
      <c r="A704">
        <v>349</v>
      </c>
      <c r="C704">
        <v>634</v>
      </c>
      <c r="D704" t="s">
        <v>1273</v>
      </c>
      <c r="E704" t="s">
        <v>94</v>
      </c>
      <c r="F704" t="s">
        <v>39</v>
      </c>
      <c r="G704" t="s">
        <v>1274</v>
      </c>
      <c r="H704" t="str">
        <f>"00045901"</f>
        <v>00045901</v>
      </c>
      <c r="I704">
        <v>858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30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Y704">
        <v>0</v>
      </c>
      <c r="Z704">
        <v>888</v>
      </c>
    </row>
    <row r="705" spans="1:26" x14ac:dyDescent="0.25">
      <c r="H705" t="s">
        <v>1275</v>
      </c>
    </row>
    <row r="706" spans="1:26" x14ac:dyDescent="0.25">
      <c r="A706">
        <v>350</v>
      </c>
      <c r="C706">
        <v>3972</v>
      </c>
      <c r="D706" t="s">
        <v>1276</v>
      </c>
      <c r="E706" t="s">
        <v>1277</v>
      </c>
      <c r="F706" t="s">
        <v>1278</v>
      </c>
      <c r="G706" t="s">
        <v>1279</v>
      </c>
      <c r="H706" t="str">
        <f>"00028144"</f>
        <v>00028144</v>
      </c>
      <c r="I706">
        <v>858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30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Y706">
        <v>0</v>
      </c>
      <c r="Z706">
        <v>888</v>
      </c>
    </row>
    <row r="707" spans="1:26" x14ac:dyDescent="0.25">
      <c r="H707" t="s">
        <v>1280</v>
      </c>
    </row>
    <row r="708" spans="1:26" x14ac:dyDescent="0.25">
      <c r="A708">
        <v>351</v>
      </c>
      <c r="B708" t="s">
        <v>783</v>
      </c>
      <c r="C708">
        <v>9256</v>
      </c>
      <c r="D708" t="s">
        <v>1281</v>
      </c>
      <c r="E708" t="s">
        <v>1282</v>
      </c>
      <c r="F708" t="s">
        <v>551</v>
      </c>
      <c r="G708" t="s">
        <v>1283</v>
      </c>
      <c r="H708" t="str">
        <f>"00609332"</f>
        <v>00609332</v>
      </c>
      <c r="I708">
        <v>858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30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Y708">
        <v>1</v>
      </c>
      <c r="Z708">
        <v>888</v>
      </c>
    </row>
    <row r="709" spans="1:26" x14ac:dyDescent="0.25">
      <c r="H709" t="s">
        <v>1284</v>
      </c>
    </row>
    <row r="710" spans="1:26" x14ac:dyDescent="0.25">
      <c r="A710">
        <v>352</v>
      </c>
      <c r="C710">
        <v>12536</v>
      </c>
      <c r="D710" t="s">
        <v>1285</v>
      </c>
      <c r="E710" t="s">
        <v>1286</v>
      </c>
      <c r="F710" t="s">
        <v>73</v>
      </c>
      <c r="G710" t="s">
        <v>1287</v>
      </c>
      <c r="H710" t="str">
        <f>"00016489"</f>
        <v>00016489</v>
      </c>
      <c r="I710">
        <v>817.3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70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Y710">
        <v>0</v>
      </c>
      <c r="Z710">
        <v>887.3</v>
      </c>
    </row>
    <row r="711" spans="1:26" x14ac:dyDescent="0.25">
      <c r="H711" t="s">
        <v>1288</v>
      </c>
    </row>
    <row r="712" spans="1:26" x14ac:dyDescent="0.25">
      <c r="A712">
        <v>353</v>
      </c>
      <c r="C712">
        <v>10839</v>
      </c>
      <c r="D712" t="s">
        <v>1289</v>
      </c>
      <c r="E712" t="s">
        <v>1290</v>
      </c>
      <c r="F712" t="s">
        <v>51</v>
      </c>
      <c r="G712" t="s">
        <v>1291</v>
      </c>
      <c r="H712" t="str">
        <f>"00464560"</f>
        <v>00464560</v>
      </c>
      <c r="I712">
        <v>856.9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30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Y712">
        <v>0</v>
      </c>
      <c r="Z712">
        <v>886.9</v>
      </c>
    </row>
    <row r="713" spans="1:26" x14ac:dyDescent="0.25">
      <c r="H713" t="s">
        <v>1292</v>
      </c>
    </row>
    <row r="714" spans="1:26" x14ac:dyDescent="0.25">
      <c r="A714">
        <v>354</v>
      </c>
      <c r="C714">
        <v>10750</v>
      </c>
      <c r="D714" t="s">
        <v>1293</v>
      </c>
      <c r="E714" t="s">
        <v>284</v>
      </c>
      <c r="F714" t="s">
        <v>73</v>
      </c>
      <c r="G714" t="s">
        <v>1294</v>
      </c>
      <c r="H714" t="str">
        <f>"00499333"</f>
        <v>00499333</v>
      </c>
      <c r="I714">
        <v>886.6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Y714">
        <v>0</v>
      </c>
      <c r="Z714">
        <v>886.6</v>
      </c>
    </row>
    <row r="715" spans="1:26" x14ac:dyDescent="0.25">
      <c r="H715" t="s">
        <v>1295</v>
      </c>
    </row>
    <row r="716" spans="1:26" x14ac:dyDescent="0.25">
      <c r="A716">
        <v>355</v>
      </c>
      <c r="C716">
        <v>13876</v>
      </c>
      <c r="D716" t="s">
        <v>1296</v>
      </c>
      <c r="E716" t="s">
        <v>1297</v>
      </c>
      <c r="F716" t="s">
        <v>90</v>
      </c>
      <c r="G716" t="s">
        <v>1298</v>
      </c>
      <c r="H716" t="str">
        <f>"00670530"</f>
        <v>00670530</v>
      </c>
      <c r="I716">
        <v>886.6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Y716">
        <v>0</v>
      </c>
      <c r="Z716">
        <v>886.6</v>
      </c>
    </row>
    <row r="717" spans="1:26" x14ac:dyDescent="0.25">
      <c r="H717" t="s">
        <v>1299</v>
      </c>
    </row>
    <row r="718" spans="1:26" x14ac:dyDescent="0.25">
      <c r="A718">
        <v>356</v>
      </c>
      <c r="C718">
        <v>12940</v>
      </c>
      <c r="D718" t="s">
        <v>1300</v>
      </c>
      <c r="E718" t="s">
        <v>107</v>
      </c>
      <c r="F718" t="s">
        <v>39</v>
      </c>
      <c r="G718" t="s">
        <v>1301</v>
      </c>
      <c r="H718" t="str">
        <f>"201510000093"</f>
        <v>201510000093</v>
      </c>
      <c r="I718">
        <v>816.2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70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Y718">
        <v>0</v>
      </c>
      <c r="Z718">
        <v>886.2</v>
      </c>
    </row>
    <row r="719" spans="1:26" x14ac:dyDescent="0.25">
      <c r="H719" t="s">
        <v>1302</v>
      </c>
    </row>
    <row r="720" spans="1:26" x14ac:dyDescent="0.25">
      <c r="A720">
        <v>357</v>
      </c>
      <c r="C720">
        <v>12023</v>
      </c>
      <c r="D720" t="s">
        <v>1303</v>
      </c>
      <c r="E720" t="s">
        <v>264</v>
      </c>
      <c r="F720" t="s">
        <v>51</v>
      </c>
      <c r="G720" t="s">
        <v>1304</v>
      </c>
      <c r="H720" t="str">
        <f>"201502003575"</f>
        <v>201502003575</v>
      </c>
      <c r="I720">
        <v>816.2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70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Y720">
        <v>0</v>
      </c>
      <c r="Z720">
        <v>886.2</v>
      </c>
    </row>
    <row r="721" spans="1:26" x14ac:dyDescent="0.25">
      <c r="H721" t="s">
        <v>1305</v>
      </c>
    </row>
    <row r="722" spans="1:26" x14ac:dyDescent="0.25">
      <c r="A722">
        <v>358</v>
      </c>
      <c r="C722">
        <v>16916</v>
      </c>
      <c r="D722" t="s">
        <v>1306</v>
      </c>
      <c r="E722" t="s">
        <v>98</v>
      </c>
      <c r="F722" t="s">
        <v>113</v>
      </c>
      <c r="G722" t="s">
        <v>1307</v>
      </c>
      <c r="H722" t="str">
        <f>"201511020072"</f>
        <v>201511020072</v>
      </c>
      <c r="I722">
        <v>735.9</v>
      </c>
      <c r="J722">
        <v>150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Y722">
        <v>2</v>
      </c>
      <c r="Z722">
        <v>885.9</v>
      </c>
    </row>
    <row r="723" spans="1:26" x14ac:dyDescent="0.25">
      <c r="H723" t="s">
        <v>1308</v>
      </c>
    </row>
    <row r="724" spans="1:26" x14ac:dyDescent="0.25">
      <c r="A724">
        <v>359</v>
      </c>
      <c r="C724">
        <v>11245</v>
      </c>
      <c r="D724" t="s">
        <v>1309</v>
      </c>
      <c r="E724" t="s">
        <v>112</v>
      </c>
      <c r="F724" t="s">
        <v>194</v>
      </c>
      <c r="G724" t="s">
        <v>1310</v>
      </c>
      <c r="H724" t="str">
        <f>"00017863"</f>
        <v>00017863</v>
      </c>
      <c r="I724">
        <v>855.8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30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Y724">
        <v>0</v>
      </c>
      <c r="Z724">
        <v>885.8</v>
      </c>
    </row>
    <row r="725" spans="1:26" x14ac:dyDescent="0.25">
      <c r="H725" t="s">
        <v>1311</v>
      </c>
    </row>
    <row r="726" spans="1:26" x14ac:dyDescent="0.25">
      <c r="A726">
        <v>360</v>
      </c>
      <c r="C726">
        <v>16053</v>
      </c>
      <c r="D726" t="s">
        <v>1312</v>
      </c>
      <c r="E726" t="s">
        <v>1313</v>
      </c>
      <c r="F726" t="s">
        <v>194</v>
      </c>
      <c r="G726" t="s">
        <v>1314</v>
      </c>
      <c r="H726" t="str">
        <f>"00502762"</f>
        <v>00502762</v>
      </c>
      <c r="I726">
        <v>885.5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Y726">
        <v>0</v>
      </c>
      <c r="Z726">
        <v>885.5</v>
      </c>
    </row>
    <row r="727" spans="1:26" x14ac:dyDescent="0.25">
      <c r="H727" t="s">
        <v>1315</v>
      </c>
    </row>
    <row r="728" spans="1:26" x14ac:dyDescent="0.25">
      <c r="A728">
        <v>361</v>
      </c>
      <c r="C728">
        <v>12269</v>
      </c>
      <c r="D728" t="s">
        <v>1316</v>
      </c>
      <c r="E728" t="s">
        <v>747</v>
      </c>
      <c r="F728" t="s">
        <v>204</v>
      </c>
      <c r="G728" t="s">
        <v>1317</v>
      </c>
      <c r="H728" t="str">
        <f>"201412001679"</f>
        <v>201412001679</v>
      </c>
      <c r="I728">
        <v>785.4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70</v>
      </c>
      <c r="P728">
        <v>0</v>
      </c>
      <c r="Q728">
        <v>0</v>
      </c>
      <c r="R728">
        <v>30</v>
      </c>
      <c r="S728">
        <v>0</v>
      </c>
      <c r="T728">
        <v>0</v>
      </c>
      <c r="U728">
        <v>0</v>
      </c>
      <c r="V728">
        <v>0</v>
      </c>
      <c r="W728">
        <v>0</v>
      </c>
      <c r="Y728">
        <v>0</v>
      </c>
      <c r="Z728">
        <v>885.4</v>
      </c>
    </row>
    <row r="729" spans="1:26" x14ac:dyDescent="0.25">
      <c r="H729" t="s">
        <v>1318</v>
      </c>
    </row>
    <row r="730" spans="1:26" x14ac:dyDescent="0.25">
      <c r="A730">
        <v>362</v>
      </c>
      <c r="C730">
        <v>9976</v>
      </c>
      <c r="D730" t="s">
        <v>1319</v>
      </c>
      <c r="E730" t="s">
        <v>248</v>
      </c>
      <c r="F730" t="s">
        <v>39</v>
      </c>
      <c r="G730" t="s">
        <v>1320</v>
      </c>
      <c r="H730" t="str">
        <f>"201511027578"</f>
        <v>201511027578</v>
      </c>
      <c r="I730">
        <v>834.9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50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Y730">
        <v>0</v>
      </c>
      <c r="Z730">
        <v>884.9</v>
      </c>
    </row>
    <row r="731" spans="1:26" x14ac:dyDescent="0.25">
      <c r="H731" t="s">
        <v>1321</v>
      </c>
    </row>
    <row r="732" spans="1:26" x14ac:dyDescent="0.25">
      <c r="A732">
        <v>363</v>
      </c>
      <c r="B732" t="s">
        <v>1322</v>
      </c>
      <c r="C732">
        <v>14792</v>
      </c>
      <c r="D732" t="s">
        <v>1323</v>
      </c>
      <c r="E732" t="s">
        <v>208</v>
      </c>
      <c r="F732" t="s">
        <v>51</v>
      </c>
      <c r="G732" t="s">
        <v>1324</v>
      </c>
      <c r="H732" t="str">
        <f>"00027162"</f>
        <v>00027162</v>
      </c>
      <c r="I732">
        <v>834.9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50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Y732">
        <v>0</v>
      </c>
      <c r="Z732">
        <v>884.9</v>
      </c>
    </row>
    <row r="733" spans="1:26" x14ac:dyDescent="0.25">
      <c r="H733" t="s">
        <v>1325</v>
      </c>
    </row>
    <row r="734" spans="1:26" x14ac:dyDescent="0.25">
      <c r="A734">
        <v>364</v>
      </c>
      <c r="C734">
        <v>8562</v>
      </c>
      <c r="D734" t="s">
        <v>1326</v>
      </c>
      <c r="E734" t="s">
        <v>1327</v>
      </c>
      <c r="F734" t="s">
        <v>1328</v>
      </c>
      <c r="G734" t="s">
        <v>1329</v>
      </c>
      <c r="H734" t="str">
        <f>"00003150"</f>
        <v>00003150</v>
      </c>
      <c r="I734">
        <v>854.7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30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Y734">
        <v>0</v>
      </c>
      <c r="Z734">
        <v>884.7</v>
      </c>
    </row>
    <row r="735" spans="1:26" x14ac:dyDescent="0.25">
      <c r="H735" t="s">
        <v>1330</v>
      </c>
    </row>
    <row r="736" spans="1:26" x14ac:dyDescent="0.25">
      <c r="A736">
        <v>365</v>
      </c>
      <c r="C736">
        <v>1701</v>
      </c>
      <c r="D736" t="s">
        <v>1331</v>
      </c>
      <c r="E736" t="s">
        <v>279</v>
      </c>
      <c r="F736" t="s">
        <v>51</v>
      </c>
      <c r="G736" t="s">
        <v>1332</v>
      </c>
      <c r="H736" t="str">
        <f>"00079840"</f>
        <v>00079840</v>
      </c>
      <c r="I736">
        <v>854.7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Y736">
        <v>0</v>
      </c>
      <c r="Z736">
        <v>884.7</v>
      </c>
    </row>
    <row r="737" spans="1:26" x14ac:dyDescent="0.25">
      <c r="H737" t="s">
        <v>1333</v>
      </c>
    </row>
    <row r="738" spans="1:26" x14ac:dyDescent="0.25">
      <c r="A738">
        <v>366</v>
      </c>
      <c r="C738">
        <v>5481</v>
      </c>
      <c r="D738" t="s">
        <v>163</v>
      </c>
      <c r="E738" t="s">
        <v>1334</v>
      </c>
      <c r="F738" t="s">
        <v>90</v>
      </c>
      <c r="G738" t="s">
        <v>1335</v>
      </c>
      <c r="H738" t="str">
        <f>"00468849"</f>
        <v>00468849</v>
      </c>
      <c r="I738">
        <v>833.8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50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Y738">
        <v>0</v>
      </c>
      <c r="Z738">
        <v>883.8</v>
      </c>
    </row>
    <row r="739" spans="1:26" x14ac:dyDescent="0.25">
      <c r="H739" t="s">
        <v>1336</v>
      </c>
    </row>
    <row r="740" spans="1:26" x14ac:dyDescent="0.25">
      <c r="A740">
        <v>367</v>
      </c>
      <c r="B740" t="s">
        <v>1337</v>
      </c>
      <c r="C740">
        <v>15006</v>
      </c>
      <c r="D740" t="s">
        <v>1338</v>
      </c>
      <c r="E740" t="s">
        <v>164</v>
      </c>
      <c r="F740" t="s">
        <v>204</v>
      </c>
      <c r="G740" t="s">
        <v>1339</v>
      </c>
      <c r="H740" t="str">
        <f>"201104000075"</f>
        <v>201104000075</v>
      </c>
      <c r="I740">
        <v>853.6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Y740">
        <v>0</v>
      </c>
      <c r="Z740">
        <v>883.6</v>
      </c>
    </row>
    <row r="741" spans="1:26" x14ac:dyDescent="0.25">
      <c r="H741" t="s">
        <v>1340</v>
      </c>
    </row>
    <row r="742" spans="1:26" x14ac:dyDescent="0.25">
      <c r="A742">
        <v>368</v>
      </c>
      <c r="C742">
        <v>8051</v>
      </c>
      <c r="D742" t="s">
        <v>1341</v>
      </c>
      <c r="E742" t="s">
        <v>107</v>
      </c>
      <c r="F742" t="s">
        <v>51</v>
      </c>
      <c r="G742" t="s">
        <v>1342</v>
      </c>
      <c r="H742" t="str">
        <f>"00431405"</f>
        <v>00431405</v>
      </c>
      <c r="I742">
        <v>853.6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30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Y742">
        <v>0</v>
      </c>
      <c r="Z742">
        <v>883.6</v>
      </c>
    </row>
    <row r="743" spans="1:26" x14ac:dyDescent="0.25">
      <c r="H743" t="s">
        <v>545</v>
      </c>
    </row>
    <row r="744" spans="1:26" x14ac:dyDescent="0.25">
      <c r="A744">
        <v>369</v>
      </c>
      <c r="C744">
        <v>9268</v>
      </c>
      <c r="D744" t="s">
        <v>1343</v>
      </c>
      <c r="E744" t="s">
        <v>1344</v>
      </c>
      <c r="F744" t="s">
        <v>16</v>
      </c>
      <c r="G744" t="s">
        <v>1345</v>
      </c>
      <c r="H744" t="str">
        <f>"00486781"</f>
        <v>00486781</v>
      </c>
      <c r="I744">
        <v>853.6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30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Y744">
        <v>0</v>
      </c>
      <c r="Z744">
        <v>883.6</v>
      </c>
    </row>
    <row r="745" spans="1:26" x14ac:dyDescent="0.25">
      <c r="H745" t="s">
        <v>1346</v>
      </c>
    </row>
    <row r="746" spans="1:26" x14ac:dyDescent="0.25">
      <c r="A746">
        <v>370</v>
      </c>
      <c r="C746">
        <v>4564</v>
      </c>
      <c r="D746" t="s">
        <v>1347</v>
      </c>
      <c r="E746" t="s">
        <v>1348</v>
      </c>
      <c r="F746" t="s">
        <v>199</v>
      </c>
      <c r="G746" t="s">
        <v>1349</v>
      </c>
      <c r="H746" t="str">
        <f>"00727602"</f>
        <v>00727602</v>
      </c>
      <c r="I746">
        <v>883.3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Y746">
        <v>0</v>
      </c>
      <c r="Z746">
        <v>883.3</v>
      </c>
    </row>
    <row r="747" spans="1:26" x14ac:dyDescent="0.25">
      <c r="H747" t="s">
        <v>1350</v>
      </c>
    </row>
    <row r="748" spans="1:26" x14ac:dyDescent="0.25">
      <c r="A748">
        <v>371</v>
      </c>
      <c r="C748">
        <v>2352</v>
      </c>
      <c r="D748" t="s">
        <v>1351</v>
      </c>
      <c r="E748" t="s">
        <v>45</v>
      </c>
      <c r="F748" t="s">
        <v>1352</v>
      </c>
      <c r="G748" t="s">
        <v>1353</v>
      </c>
      <c r="H748" t="str">
        <f>"00073218"</f>
        <v>00073218</v>
      </c>
      <c r="I748">
        <v>812.9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70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Y748">
        <v>0</v>
      </c>
      <c r="Z748">
        <v>882.9</v>
      </c>
    </row>
    <row r="749" spans="1:26" x14ac:dyDescent="0.25">
      <c r="H749" t="s">
        <v>1354</v>
      </c>
    </row>
    <row r="750" spans="1:26" x14ac:dyDescent="0.25">
      <c r="A750">
        <v>372</v>
      </c>
      <c r="C750">
        <v>12236</v>
      </c>
      <c r="D750" t="s">
        <v>1355</v>
      </c>
      <c r="E750" t="s">
        <v>365</v>
      </c>
      <c r="F750" t="s">
        <v>127</v>
      </c>
      <c r="G750" t="s">
        <v>1356</v>
      </c>
      <c r="H750" t="str">
        <f>"201511005129"</f>
        <v>201511005129</v>
      </c>
      <c r="I750">
        <v>832.7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50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Y750">
        <v>0</v>
      </c>
      <c r="Z750">
        <v>882.7</v>
      </c>
    </row>
    <row r="751" spans="1:26" x14ac:dyDescent="0.25">
      <c r="H751" t="s">
        <v>1357</v>
      </c>
    </row>
    <row r="752" spans="1:26" x14ac:dyDescent="0.25">
      <c r="A752">
        <v>373</v>
      </c>
      <c r="C752">
        <v>1861</v>
      </c>
      <c r="D752" t="s">
        <v>1358</v>
      </c>
      <c r="E752" t="s">
        <v>164</v>
      </c>
      <c r="F752" t="s">
        <v>342</v>
      </c>
      <c r="G752" t="s">
        <v>1359</v>
      </c>
      <c r="H752" t="str">
        <f>"201511010747"</f>
        <v>201511010747</v>
      </c>
      <c r="I752">
        <v>852.5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Y752">
        <v>0</v>
      </c>
      <c r="Z752">
        <v>882.5</v>
      </c>
    </row>
    <row r="753" spans="1:26" x14ac:dyDescent="0.25">
      <c r="H753" t="s">
        <v>1360</v>
      </c>
    </row>
    <row r="754" spans="1:26" x14ac:dyDescent="0.25">
      <c r="A754">
        <v>374</v>
      </c>
      <c r="B754" t="s">
        <v>71</v>
      </c>
      <c r="C754">
        <v>17340</v>
      </c>
      <c r="D754" t="s">
        <v>1361</v>
      </c>
      <c r="E754" t="s">
        <v>164</v>
      </c>
      <c r="F754" t="s">
        <v>342</v>
      </c>
      <c r="G754" t="s">
        <v>1362</v>
      </c>
      <c r="H754" t="str">
        <f>"00476735"</f>
        <v>00476735</v>
      </c>
      <c r="I754">
        <v>882.2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Y754">
        <v>1</v>
      </c>
      <c r="Z754">
        <v>882.2</v>
      </c>
    </row>
    <row r="755" spans="1:26" x14ac:dyDescent="0.25">
      <c r="H755" t="s">
        <v>1363</v>
      </c>
    </row>
    <row r="756" spans="1:26" x14ac:dyDescent="0.25">
      <c r="A756">
        <v>375</v>
      </c>
      <c r="C756">
        <v>5511</v>
      </c>
      <c r="D756" t="s">
        <v>1364</v>
      </c>
      <c r="E756" t="s">
        <v>342</v>
      </c>
      <c r="F756" t="s">
        <v>148</v>
      </c>
      <c r="G756" t="s">
        <v>1365</v>
      </c>
      <c r="H756" t="str">
        <f>"201511011319"</f>
        <v>201511011319</v>
      </c>
      <c r="I756">
        <v>851.4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30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Y756">
        <v>0</v>
      </c>
      <c r="Z756">
        <v>881.4</v>
      </c>
    </row>
    <row r="757" spans="1:26" x14ac:dyDescent="0.25">
      <c r="H757" t="s">
        <v>1366</v>
      </c>
    </row>
    <row r="758" spans="1:26" x14ac:dyDescent="0.25">
      <c r="A758">
        <v>376</v>
      </c>
      <c r="C758">
        <v>17406</v>
      </c>
      <c r="D758" t="s">
        <v>1367</v>
      </c>
      <c r="E758" t="s">
        <v>634</v>
      </c>
      <c r="F758" t="s">
        <v>90</v>
      </c>
      <c r="G758" t="s">
        <v>1368</v>
      </c>
      <c r="H758" t="str">
        <f>"00044987"</f>
        <v>00044987</v>
      </c>
      <c r="I758">
        <v>851.4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30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Y758">
        <v>0</v>
      </c>
      <c r="Z758">
        <v>881.4</v>
      </c>
    </row>
    <row r="759" spans="1:26" x14ac:dyDescent="0.25">
      <c r="H759" t="s">
        <v>1369</v>
      </c>
    </row>
    <row r="760" spans="1:26" x14ac:dyDescent="0.25">
      <c r="A760">
        <v>377</v>
      </c>
      <c r="C760">
        <v>5639</v>
      </c>
      <c r="D760" t="s">
        <v>1370</v>
      </c>
      <c r="E760" t="s">
        <v>56</v>
      </c>
      <c r="F760" t="s">
        <v>73</v>
      </c>
      <c r="G760" t="s">
        <v>1371</v>
      </c>
      <c r="H760" t="str">
        <f>"201511013698"</f>
        <v>201511013698</v>
      </c>
      <c r="I760">
        <v>851.4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30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Y760">
        <v>0</v>
      </c>
      <c r="Z760">
        <v>881.4</v>
      </c>
    </row>
    <row r="761" spans="1:26" x14ac:dyDescent="0.25">
      <c r="H761" t="s">
        <v>1372</v>
      </c>
    </row>
    <row r="762" spans="1:26" x14ac:dyDescent="0.25">
      <c r="A762">
        <v>378</v>
      </c>
      <c r="C762">
        <v>6896</v>
      </c>
      <c r="D762" t="s">
        <v>1373</v>
      </c>
      <c r="E762" t="s">
        <v>132</v>
      </c>
      <c r="F762" t="s">
        <v>723</v>
      </c>
      <c r="G762" t="s">
        <v>1374</v>
      </c>
      <c r="H762" t="str">
        <f>"201511026755"</f>
        <v>201511026755</v>
      </c>
      <c r="I762">
        <v>851.4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30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Y762">
        <v>0</v>
      </c>
      <c r="Z762">
        <v>881.4</v>
      </c>
    </row>
    <row r="763" spans="1:26" x14ac:dyDescent="0.25">
      <c r="H763" t="s">
        <v>1375</v>
      </c>
    </row>
    <row r="764" spans="1:26" x14ac:dyDescent="0.25">
      <c r="A764">
        <v>379</v>
      </c>
      <c r="C764">
        <v>13254</v>
      </c>
      <c r="D764" t="s">
        <v>1376</v>
      </c>
      <c r="E764" t="s">
        <v>98</v>
      </c>
      <c r="F764" t="s">
        <v>597</v>
      </c>
      <c r="G764" t="s">
        <v>1377</v>
      </c>
      <c r="H764" t="str">
        <f>"201511032965"</f>
        <v>201511032965</v>
      </c>
      <c r="I764">
        <v>851.4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30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Y764">
        <v>0</v>
      </c>
      <c r="Z764">
        <v>881.4</v>
      </c>
    </row>
    <row r="765" spans="1:26" x14ac:dyDescent="0.25">
      <c r="H765" t="s">
        <v>1378</v>
      </c>
    </row>
    <row r="766" spans="1:26" x14ac:dyDescent="0.25">
      <c r="A766">
        <v>380</v>
      </c>
      <c r="C766">
        <v>15467</v>
      </c>
      <c r="D766" t="s">
        <v>1379</v>
      </c>
      <c r="E766" t="s">
        <v>1380</v>
      </c>
      <c r="F766" t="s">
        <v>90</v>
      </c>
      <c r="G766" t="s">
        <v>1381</v>
      </c>
      <c r="H766" t="str">
        <f>"200801003927"</f>
        <v>200801003927</v>
      </c>
      <c r="I766">
        <v>781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70</v>
      </c>
      <c r="P766">
        <v>0</v>
      </c>
      <c r="Q766">
        <v>0</v>
      </c>
      <c r="R766">
        <v>0</v>
      </c>
      <c r="S766">
        <v>30</v>
      </c>
      <c r="T766">
        <v>0</v>
      </c>
      <c r="U766">
        <v>0</v>
      </c>
      <c r="V766">
        <v>0</v>
      </c>
      <c r="W766">
        <v>0</v>
      </c>
      <c r="Y766">
        <v>0</v>
      </c>
      <c r="Z766">
        <v>881</v>
      </c>
    </row>
    <row r="767" spans="1:26" x14ac:dyDescent="0.25">
      <c r="H767" t="s">
        <v>1382</v>
      </c>
    </row>
    <row r="768" spans="1:26" x14ac:dyDescent="0.25">
      <c r="A768">
        <v>381</v>
      </c>
      <c r="C768">
        <v>12910</v>
      </c>
      <c r="D768" t="s">
        <v>1383</v>
      </c>
      <c r="E768" t="s">
        <v>1384</v>
      </c>
      <c r="F768" t="s">
        <v>194</v>
      </c>
      <c r="G768" t="s">
        <v>1385</v>
      </c>
      <c r="H768" t="str">
        <f>"00496407"</f>
        <v>00496407</v>
      </c>
      <c r="I768">
        <v>850.3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30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Y768">
        <v>0</v>
      </c>
      <c r="Z768">
        <v>880.3</v>
      </c>
    </row>
    <row r="769" spans="1:26" x14ac:dyDescent="0.25">
      <c r="H769" t="s">
        <v>1386</v>
      </c>
    </row>
    <row r="770" spans="1:26" x14ac:dyDescent="0.25">
      <c r="A770">
        <v>382</v>
      </c>
      <c r="C770">
        <v>583</v>
      </c>
      <c r="D770" t="s">
        <v>1387</v>
      </c>
      <c r="E770" t="s">
        <v>338</v>
      </c>
      <c r="F770" t="s">
        <v>78</v>
      </c>
      <c r="G770" t="s">
        <v>1388</v>
      </c>
      <c r="H770" t="str">
        <f>"201511032588"</f>
        <v>201511032588</v>
      </c>
      <c r="I770">
        <v>850.3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30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Y770">
        <v>0</v>
      </c>
      <c r="Z770">
        <v>880.3</v>
      </c>
    </row>
    <row r="771" spans="1:26" x14ac:dyDescent="0.25">
      <c r="H771" t="s">
        <v>1389</v>
      </c>
    </row>
    <row r="772" spans="1:26" x14ac:dyDescent="0.25">
      <c r="A772">
        <v>383</v>
      </c>
      <c r="C772">
        <v>5709</v>
      </c>
      <c r="D772" t="s">
        <v>1390</v>
      </c>
      <c r="E772" t="s">
        <v>821</v>
      </c>
      <c r="F772" t="s">
        <v>73</v>
      </c>
      <c r="G772" t="s">
        <v>1391</v>
      </c>
      <c r="H772" t="str">
        <f>"201511022531"</f>
        <v>201511022531</v>
      </c>
      <c r="I772">
        <v>850.3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30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Y772">
        <v>0</v>
      </c>
      <c r="Z772">
        <v>880.3</v>
      </c>
    </row>
    <row r="773" spans="1:26" x14ac:dyDescent="0.25">
      <c r="H773" t="s">
        <v>1392</v>
      </c>
    </row>
    <row r="774" spans="1:26" x14ac:dyDescent="0.25">
      <c r="A774">
        <v>384</v>
      </c>
      <c r="C774">
        <v>3900</v>
      </c>
      <c r="D774" t="s">
        <v>1393</v>
      </c>
      <c r="E774" t="s">
        <v>264</v>
      </c>
      <c r="F774" t="s">
        <v>342</v>
      </c>
      <c r="G774" t="s">
        <v>1394</v>
      </c>
      <c r="H774" t="str">
        <f>"00504488"</f>
        <v>00504488</v>
      </c>
      <c r="I774">
        <v>880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Y774">
        <v>0</v>
      </c>
      <c r="Z774">
        <v>880</v>
      </c>
    </row>
    <row r="775" spans="1:26" x14ac:dyDescent="0.25">
      <c r="H775" t="s">
        <v>1395</v>
      </c>
    </row>
    <row r="776" spans="1:26" x14ac:dyDescent="0.25">
      <c r="A776">
        <v>385</v>
      </c>
      <c r="C776">
        <v>8319</v>
      </c>
      <c r="D776" t="s">
        <v>142</v>
      </c>
      <c r="E776" t="s">
        <v>170</v>
      </c>
      <c r="F776" t="s">
        <v>194</v>
      </c>
      <c r="G776" t="s">
        <v>1396</v>
      </c>
      <c r="H776" t="str">
        <f>"201511020007"</f>
        <v>201511020007</v>
      </c>
      <c r="I776">
        <v>849.2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30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Y776">
        <v>0</v>
      </c>
      <c r="Z776">
        <v>879.2</v>
      </c>
    </row>
    <row r="777" spans="1:26" x14ac:dyDescent="0.25">
      <c r="H777" t="s">
        <v>1397</v>
      </c>
    </row>
    <row r="778" spans="1:26" x14ac:dyDescent="0.25">
      <c r="A778">
        <v>386</v>
      </c>
      <c r="C778">
        <v>9302</v>
      </c>
      <c r="D778" t="s">
        <v>1398</v>
      </c>
      <c r="E778" t="s">
        <v>1399</v>
      </c>
      <c r="F778" t="s">
        <v>456</v>
      </c>
      <c r="G778" t="s">
        <v>1400</v>
      </c>
      <c r="H778" t="str">
        <f>"201511022307"</f>
        <v>201511022307</v>
      </c>
      <c r="I778">
        <v>878.9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Y778">
        <v>0</v>
      </c>
      <c r="Z778">
        <v>878.9</v>
      </c>
    </row>
    <row r="779" spans="1:26" x14ac:dyDescent="0.25">
      <c r="H779" t="s">
        <v>1401</v>
      </c>
    </row>
    <row r="780" spans="1:26" x14ac:dyDescent="0.25">
      <c r="A780">
        <v>387</v>
      </c>
      <c r="C780">
        <v>14443</v>
      </c>
      <c r="D780" t="s">
        <v>1402</v>
      </c>
      <c r="E780" t="s">
        <v>1403</v>
      </c>
      <c r="F780" t="s">
        <v>199</v>
      </c>
      <c r="G780" t="s">
        <v>1404</v>
      </c>
      <c r="H780" t="str">
        <f>"201510005150"</f>
        <v>201510005150</v>
      </c>
      <c r="I780">
        <v>848.1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30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Y780">
        <v>0</v>
      </c>
      <c r="Z780">
        <v>878.1</v>
      </c>
    </row>
    <row r="781" spans="1:26" x14ac:dyDescent="0.25">
      <c r="H781" t="s">
        <v>1405</v>
      </c>
    </row>
    <row r="782" spans="1:26" x14ac:dyDescent="0.25">
      <c r="A782">
        <v>388</v>
      </c>
      <c r="C782">
        <v>7954</v>
      </c>
      <c r="D782" t="s">
        <v>1406</v>
      </c>
      <c r="E782" t="s">
        <v>1407</v>
      </c>
      <c r="F782" t="s">
        <v>193</v>
      </c>
      <c r="G782" t="s">
        <v>1408</v>
      </c>
      <c r="H782" t="str">
        <f>"201511000059"</f>
        <v>201511000059</v>
      </c>
      <c r="I782">
        <v>848.1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30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Y782">
        <v>0</v>
      </c>
      <c r="Z782">
        <v>878.1</v>
      </c>
    </row>
    <row r="783" spans="1:26" x14ac:dyDescent="0.25">
      <c r="H783" t="s">
        <v>1409</v>
      </c>
    </row>
    <row r="784" spans="1:26" x14ac:dyDescent="0.25">
      <c r="A784">
        <v>389</v>
      </c>
      <c r="C784">
        <v>4321</v>
      </c>
      <c r="D784" t="s">
        <v>1410</v>
      </c>
      <c r="E784" t="s">
        <v>1411</v>
      </c>
      <c r="F784" t="s">
        <v>39</v>
      </c>
      <c r="G784" t="s">
        <v>1412</v>
      </c>
      <c r="H784" t="str">
        <f>"00024113"</f>
        <v>00024113</v>
      </c>
      <c r="I784">
        <v>848.1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30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Y784">
        <v>0</v>
      </c>
      <c r="Z784">
        <v>878.1</v>
      </c>
    </row>
    <row r="785" spans="1:26" x14ac:dyDescent="0.25">
      <c r="H785" t="s">
        <v>1413</v>
      </c>
    </row>
    <row r="786" spans="1:26" x14ac:dyDescent="0.25">
      <c r="A786">
        <v>390</v>
      </c>
      <c r="B786" t="s">
        <v>1414</v>
      </c>
      <c r="C786">
        <v>5111</v>
      </c>
      <c r="D786" t="s">
        <v>1415</v>
      </c>
      <c r="E786" t="s">
        <v>56</v>
      </c>
      <c r="F786" t="s">
        <v>204</v>
      </c>
      <c r="G786" t="s">
        <v>1416</v>
      </c>
      <c r="H786" t="str">
        <f>"00031043"</f>
        <v>00031043</v>
      </c>
      <c r="I786">
        <v>848.1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30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Y786">
        <v>1</v>
      </c>
      <c r="Z786">
        <v>878.1</v>
      </c>
    </row>
    <row r="787" spans="1:26" x14ac:dyDescent="0.25">
      <c r="H787" t="s">
        <v>1417</v>
      </c>
    </row>
    <row r="788" spans="1:26" x14ac:dyDescent="0.25">
      <c r="A788">
        <v>391</v>
      </c>
      <c r="C788">
        <v>15005</v>
      </c>
      <c r="D788" t="s">
        <v>1418</v>
      </c>
      <c r="E788" t="s">
        <v>1419</v>
      </c>
      <c r="F788" t="s">
        <v>1420</v>
      </c>
      <c r="G788" t="s">
        <v>1421</v>
      </c>
      <c r="H788" t="str">
        <f>"00654525"</f>
        <v>00654525</v>
      </c>
      <c r="I788">
        <v>877.8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Y788">
        <v>0</v>
      </c>
      <c r="Z788">
        <v>877.8</v>
      </c>
    </row>
    <row r="789" spans="1:26" x14ac:dyDescent="0.25">
      <c r="H789" t="s">
        <v>1422</v>
      </c>
    </row>
    <row r="790" spans="1:26" x14ac:dyDescent="0.25">
      <c r="A790">
        <v>392</v>
      </c>
      <c r="C790">
        <v>17086</v>
      </c>
      <c r="D790" t="s">
        <v>1423</v>
      </c>
      <c r="E790" t="s">
        <v>1424</v>
      </c>
      <c r="F790" t="s">
        <v>51</v>
      </c>
      <c r="G790" t="s">
        <v>1425</v>
      </c>
      <c r="H790" t="str">
        <f>"201511023320"</f>
        <v>201511023320</v>
      </c>
      <c r="I790">
        <v>807.4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70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Y790">
        <v>0</v>
      </c>
      <c r="Z790">
        <v>877.4</v>
      </c>
    </row>
    <row r="791" spans="1:26" x14ac:dyDescent="0.25">
      <c r="H791" t="s">
        <v>1426</v>
      </c>
    </row>
    <row r="792" spans="1:26" x14ac:dyDescent="0.25">
      <c r="A792">
        <v>393</v>
      </c>
      <c r="C792">
        <v>7647</v>
      </c>
      <c r="D792" t="s">
        <v>1427</v>
      </c>
      <c r="E792" t="s">
        <v>1428</v>
      </c>
      <c r="F792" t="s">
        <v>51</v>
      </c>
      <c r="G792" t="s">
        <v>1429</v>
      </c>
      <c r="H792" t="str">
        <f>"201512001518"</f>
        <v>201512001518</v>
      </c>
      <c r="I792">
        <v>847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30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Y792">
        <v>0</v>
      </c>
      <c r="Z792">
        <v>877</v>
      </c>
    </row>
    <row r="793" spans="1:26" x14ac:dyDescent="0.25">
      <c r="H793" t="s">
        <v>1430</v>
      </c>
    </row>
    <row r="794" spans="1:26" x14ac:dyDescent="0.25">
      <c r="A794">
        <v>394</v>
      </c>
      <c r="C794">
        <v>3674</v>
      </c>
      <c r="D794" t="s">
        <v>1431</v>
      </c>
      <c r="E794" t="s">
        <v>39</v>
      </c>
      <c r="F794" t="s">
        <v>73</v>
      </c>
      <c r="G794" t="s">
        <v>1432</v>
      </c>
      <c r="H794" t="str">
        <f>"00652446"</f>
        <v>00652446</v>
      </c>
      <c r="I794">
        <v>876.7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Y794">
        <v>0</v>
      </c>
      <c r="Z794">
        <v>876.7</v>
      </c>
    </row>
    <row r="795" spans="1:26" x14ac:dyDescent="0.25">
      <c r="H795" t="s">
        <v>1433</v>
      </c>
    </row>
    <row r="796" spans="1:26" x14ac:dyDescent="0.25">
      <c r="A796">
        <v>395</v>
      </c>
      <c r="C796">
        <v>5414</v>
      </c>
      <c r="D796" t="s">
        <v>1434</v>
      </c>
      <c r="E796" t="s">
        <v>1435</v>
      </c>
      <c r="F796" t="s">
        <v>16</v>
      </c>
      <c r="G796" t="s">
        <v>1436</v>
      </c>
      <c r="H796" t="str">
        <f>"201511030840"</f>
        <v>201511030840</v>
      </c>
      <c r="I796">
        <v>876.7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Y796">
        <v>0</v>
      </c>
      <c r="Z796">
        <v>876.7</v>
      </c>
    </row>
    <row r="797" spans="1:26" x14ac:dyDescent="0.25">
      <c r="H797" t="s">
        <v>1437</v>
      </c>
    </row>
    <row r="798" spans="1:26" x14ac:dyDescent="0.25">
      <c r="A798">
        <v>396</v>
      </c>
      <c r="C798">
        <v>5734</v>
      </c>
      <c r="D798" t="s">
        <v>1438</v>
      </c>
      <c r="E798" t="s">
        <v>1439</v>
      </c>
      <c r="F798" t="s">
        <v>1440</v>
      </c>
      <c r="G798" t="s">
        <v>1441</v>
      </c>
      <c r="H798" t="str">
        <f>"00491891"</f>
        <v>00491891</v>
      </c>
      <c r="I798">
        <v>845.9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30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Y798">
        <v>0</v>
      </c>
      <c r="Z798">
        <v>875.9</v>
      </c>
    </row>
    <row r="799" spans="1:26" x14ac:dyDescent="0.25">
      <c r="H799" t="s">
        <v>1442</v>
      </c>
    </row>
    <row r="800" spans="1:26" x14ac:dyDescent="0.25">
      <c r="A800">
        <v>397</v>
      </c>
      <c r="C800">
        <v>324</v>
      </c>
      <c r="D800" t="s">
        <v>1443</v>
      </c>
      <c r="E800" t="s">
        <v>248</v>
      </c>
      <c r="F800" t="s">
        <v>194</v>
      </c>
      <c r="G800" t="s">
        <v>1444</v>
      </c>
      <c r="H800" t="str">
        <f>"00501448"</f>
        <v>00501448</v>
      </c>
      <c r="I800">
        <v>845.9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30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Y800">
        <v>0</v>
      </c>
      <c r="Z800">
        <v>875.9</v>
      </c>
    </row>
    <row r="801" spans="1:26" x14ac:dyDescent="0.25">
      <c r="H801" t="s">
        <v>1445</v>
      </c>
    </row>
    <row r="802" spans="1:26" x14ac:dyDescent="0.25">
      <c r="A802">
        <v>398</v>
      </c>
      <c r="C802">
        <v>11490</v>
      </c>
      <c r="D802" t="s">
        <v>1446</v>
      </c>
      <c r="E802" t="s">
        <v>89</v>
      </c>
      <c r="F802" t="s">
        <v>73</v>
      </c>
      <c r="G802" t="s">
        <v>1447</v>
      </c>
      <c r="H802" t="str">
        <f>"00501262"</f>
        <v>00501262</v>
      </c>
      <c r="I802">
        <v>875.6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Y802">
        <v>0</v>
      </c>
      <c r="Z802">
        <v>875.6</v>
      </c>
    </row>
    <row r="803" spans="1:26" x14ac:dyDescent="0.25">
      <c r="H803" t="s">
        <v>1448</v>
      </c>
    </row>
    <row r="804" spans="1:26" x14ac:dyDescent="0.25">
      <c r="A804">
        <v>399</v>
      </c>
      <c r="B804" t="s">
        <v>1449</v>
      </c>
      <c r="C804">
        <v>827</v>
      </c>
      <c r="D804" t="s">
        <v>1450</v>
      </c>
      <c r="E804" t="s">
        <v>73</v>
      </c>
      <c r="F804" t="s">
        <v>127</v>
      </c>
      <c r="G804" t="s">
        <v>1451</v>
      </c>
      <c r="H804" t="str">
        <f>"201406001011"</f>
        <v>201406001011</v>
      </c>
      <c r="I804">
        <v>805.2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70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Y804">
        <v>0</v>
      </c>
      <c r="Z804">
        <v>875.2</v>
      </c>
    </row>
    <row r="805" spans="1:26" x14ac:dyDescent="0.25">
      <c r="H805" t="s">
        <v>1452</v>
      </c>
    </row>
    <row r="806" spans="1:26" x14ac:dyDescent="0.25">
      <c r="A806">
        <v>400</v>
      </c>
      <c r="C806">
        <v>705</v>
      </c>
      <c r="D806" t="s">
        <v>1453</v>
      </c>
      <c r="E806" t="s">
        <v>164</v>
      </c>
      <c r="F806" t="s">
        <v>16</v>
      </c>
      <c r="G806" t="s">
        <v>1454</v>
      </c>
      <c r="H806" t="str">
        <f>"201511030929"</f>
        <v>201511030929</v>
      </c>
      <c r="I806">
        <v>844.8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30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Y806">
        <v>0</v>
      </c>
      <c r="Z806">
        <v>874.8</v>
      </c>
    </row>
    <row r="807" spans="1:26" x14ac:dyDescent="0.25">
      <c r="H807" t="s">
        <v>1455</v>
      </c>
    </row>
    <row r="808" spans="1:26" x14ac:dyDescent="0.25">
      <c r="A808">
        <v>401</v>
      </c>
      <c r="C808">
        <v>6097</v>
      </c>
      <c r="D808" t="s">
        <v>1456</v>
      </c>
      <c r="E808" t="s">
        <v>67</v>
      </c>
      <c r="F808" t="s">
        <v>1221</v>
      </c>
      <c r="G808" t="s">
        <v>1457</v>
      </c>
      <c r="H808" t="str">
        <f>"00229378"</f>
        <v>00229378</v>
      </c>
      <c r="I808">
        <v>844.8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30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Y808">
        <v>0</v>
      </c>
      <c r="Z808">
        <v>874.8</v>
      </c>
    </row>
    <row r="809" spans="1:26" x14ac:dyDescent="0.25">
      <c r="H809" t="s">
        <v>1458</v>
      </c>
    </row>
    <row r="810" spans="1:26" x14ac:dyDescent="0.25">
      <c r="A810">
        <v>402</v>
      </c>
      <c r="C810">
        <v>10894</v>
      </c>
      <c r="D810" t="s">
        <v>1459</v>
      </c>
      <c r="E810" t="s">
        <v>112</v>
      </c>
      <c r="F810" t="s">
        <v>16</v>
      </c>
      <c r="G810" t="s">
        <v>1460</v>
      </c>
      <c r="H810" t="str">
        <f>"00042482"</f>
        <v>00042482</v>
      </c>
      <c r="I810">
        <v>844.8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30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Y810">
        <v>0</v>
      </c>
      <c r="Z810">
        <v>874.8</v>
      </c>
    </row>
    <row r="811" spans="1:26" x14ac:dyDescent="0.25">
      <c r="H811" t="s">
        <v>1461</v>
      </c>
    </row>
    <row r="812" spans="1:26" x14ac:dyDescent="0.25">
      <c r="A812">
        <v>403</v>
      </c>
      <c r="C812">
        <v>15856</v>
      </c>
      <c r="D812" t="s">
        <v>1462</v>
      </c>
      <c r="E812" t="s">
        <v>178</v>
      </c>
      <c r="F812" t="s">
        <v>16</v>
      </c>
      <c r="G812" t="s">
        <v>1463</v>
      </c>
      <c r="H812" t="str">
        <f>"201102000984"</f>
        <v>201102000984</v>
      </c>
      <c r="I812">
        <v>823.9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50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Y812">
        <v>0</v>
      </c>
      <c r="Z812">
        <v>873.9</v>
      </c>
    </row>
    <row r="813" spans="1:26" x14ac:dyDescent="0.25">
      <c r="H813" t="s">
        <v>1464</v>
      </c>
    </row>
    <row r="814" spans="1:26" x14ac:dyDescent="0.25">
      <c r="A814">
        <v>404</v>
      </c>
      <c r="C814">
        <v>8795</v>
      </c>
      <c r="D814" t="s">
        <v>1465</v>
      </c>
      <c r="E814" t="s">
        <v>1466</v>
      </c>
      <c r="F814" t="s">
        <v>51</v>
      </c>
      <c r="G814" t="s">
        <v>1467</v>
      </c>
      <c r="H814" t="str">
        <f>"00508383"</f>
        <v>00508383</v>
      </c>
      <c r="I814">
        <v>823.9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50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Y814">
        <v>0</v>
      </c>
      <c r="Z814">
        <v>873.9</v>
      </c>
    </row>
    <row r="815" spans="1:26" x14ac:dyDescent="0.25">
      <c r="H815" t="s">
        <v>1468</v>
      </c>
    </row>
    <row r="816" spans="1:26" x14ac:dyDescent="0.25">
      <c r="A816">
        <v>405</v>
      </c>
      <c r="C816">
        <v>7592</v>
      </c>
      <c r="D816" t="s">
        <v>1469</v>
      </c>
      <c r="E816" t="s">
        <v>252</v>
      </c>
      <c r="F816" t="s">
        <v>456</v>
      </c>
      <c r="G816" t="s">
        <v>1470</v>
      </c>
      <c r="H816" t="str">
        <f>"00679064"</f>
        <v>00679064</v>
      </c>
      <c r="I816">
        <v>843.7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30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Y816">
        <v>0</v>
      </c>
      <c r="Z816">
        <v>873.7</v>
      </c>
    </row>
    <row r="817" spans="1:26" x14ac:dyDescent="0.25">
      <c r="H817" t="s">
        <v>1471</v>
      </c>
    </row>
    <row r="818" spans="1:26" x14ac:dyDescent="0.25">
      <c r="A818">
        <v>406</v>
      </c>
      <c r="C818">
        <v>13737</v>
      </c>
      <c r="D818" t="s">
        <v>1472</v>
      </c>
      <c r="E818" t="s">
        <v>56</v>
      </c>
      <c r="F818" t="s">
        <v>642</v>
      </c>
      <c r="G818" t="s">
        <v>1473</v>
      </c>
      <c r="H818" t="str">
        <f>"201511021584"</f>
        <v>201511021584</v>
      </c>
      <c r="I818">
        <v>843.7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30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Y818">
        <v>0</v>
      </c>
      <c r="Z818">
        <v>873.7</v>
      </c>
    </row>
    <row r="819" spans="1:26" x14ac:dyDescent="0.25">
      <c r="H819" t="s">
        <v>1474</v>
      </c>
    </row>
    <row r="820" spans="1:26" x14ac:dyDescent="0.25">
      <c r="A820">
        <v>407</v>
      </c>
      <c r="C820">
        <v>1934</v>
      </c>
      <c r="D820" t="s">
        <v>1475</v>
      </c>
      <c r="E820" t="s">
        <v>264</v>
      </c>
      <c r="F820" t="s">
        <v>62</v>
      </c>
      <c r="G820" t="s">
        <v>1476</v>
      </c>
      <c r="H820" t="str">
        <f>"201511012556"</f>
        <v>201511012556</v>
      </c>
      <c r="I820">
        <v>843.7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30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Y820">
        <v>0</v>
      </c>
      <c r="Z820">
        <v>873.7</v>
      </c>
    </row>
    <row r="821" spans="1:26" x14ac:dyDescent="0.25">
      <c r="H821" t="s">
        <v>1477</v>
      </c>
    </row>
    <row r="822" spans="1:26" x14ac:dyDescent="0.25">
      <c r="A822">
        <v>408</v>
      </c>
      <c r="C822">
        <v>15324</v>
      </c>
      <c r="D822" t="s">
        <v>1478</v>
      </c>
      <c r="E822" t="s">
        <v>178</v>
      </c>
      <c r="F822" t="s">
        <v>194</v>
      </c>
      <c r="G822" t="s">
        <v>1479</v>
      </c>
      <c r="H822" t="str">
        <f>"00500104"</f>
        <v>00500104</v>
      </c>
      <c r="I822">
        <v>843.7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30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Y822">
        <v>0</v>
      </c>
      <c r="Z822">
        <v>873.7</v>
      </c>
    </row>
    <row r="823" spans="1:26" x14ac:dyDescent="0.25">
      <c r="H823" t="s">
        <v>1480</v>
      </c>
    </row>
    <row r="824" spans="1:26" x14ac:dyDescent="0.25">
      <c r="A824">
        <v>409</v>
      </c>
      <c r="B824" t="s">
        <v>866</v>
      </c>
      <c r="C824">
        <v>4562</v>
      </c>
      <c r="D824" t="s">
        <v>1481</v>
      </c>
      <c r="E824" t="s">
        <v>38</v>
      </c>
      <c r="F824" t="s">
        <v>127</v>
      </c>
      <c r="G824" t="s">
        <v>1482</v>
      </c>
      <c r="H824" t="str">
        <f>"201511017572"</f>
        <v>201511017572</v>
      </c>
      <c r="I824">
        <v>873.4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Y824">
        <v>2</v>
      </c>
      <c r="Z824">
        <v>873.4</v>
      </c>
    </row>
    <row r="825" spans="1:26" x14ac:dyDescent="0.25">
      <c r="H825" t="s">
        <v>1483</v>
      </c>
    </row>
    <row r="826" spans="1:26" x14ac:dyDescent="0.25">
      <c r="A826">
        <v>410</v>
      </c>
      <c r="C826">
        <v>8797</v>
      </c>
      <c r="D826" t="s">
        <v>1484</v>
      </c>
      <c r="E826" t="s">
        <v>112</v>
      </c>
      <c r="F826" t="s">
        <v>1485</v>
      </c>
      <c r="G826" t="s">
        <v>1486</v>
      </c>
      <c r="H826" t="str">
        <f>"201511036479"</f>
        <v>201511036479</v>
      </c>
      <c r="I826">
        <v>803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70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Y826">
        <v>0</v>
      </c>
      <c r="Z826">
        <v>873</v>
      </c>
    </row>
    <row r="827" spans="1:26" x14ac:dyDescent="0.25">
      <c r="H827" t="s">
        <v>1487</v>
      </c>
    </row>
    <row r="828" spans="1:26" x14ac:dyDescent="0.25">
      <c r="A828">
        <v>411</v>
      </c>
      <c r="C828">
        <v>751</v>
      </c>
      <c r="D828" t="s">
        <v>1488</v>
      </c>
      <c r="E828" t="s">
        <v>1334</v>
      </c>
      <c r="F828" t="s">
        <v>194</v>
      </c>
      <c r="G828" t="s">
        <v>1489</v>
      </c>
      <c r="H828" t="str">
        <f>"201511023370"</f>
        <v>201511023370</v>
      </c>
      <c r="I828">
        <v>842.6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30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Y828">
        <v>0</v>
      </c>
      <c r="Z828">
        <v>872.6</v>
      </c>
    </row>
    <row r="829" spans="1:26" x14ac:dyDescent="0.25">
      <c r="H829" t="s">
        <v>1490</v>
      </c>
    </row>
    <row r="830" spans="1:26" x14ac:dyDescent="0.25">
      <c r="A830">
        <v>412</v>
      </c>
      <c r="C830">
        <v>4189</v>
      </c>
      <c r="D830" t="s">
        <v>1491</v>
      </c>
      <c r="E830" t="s">
        <v>275</v>
      </c>
      <c r="F830" t="s">
        <v>1492</v>
      </c>
      <c r="G830" t="s">
        <v>1493</v>
      </c>
      <c r="H830" t="str">
        <f>"201412003503"</f>
        <v>201412003503</v>
      </c>
      <c r="I830">
        <v>842.6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30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Y830">
        <v>0</v>
      </c>
      <c r="Z830">
        <v>872.6</v>
      </c>
    </row>
    <row r="831" spans="1:26" x14ac:dyDescent="0.25">
      <c r="H831" t="s">
        <v>1494</v>
      </c>
    </row>
    <row r="832" spans="1:26" x14ac:dyDescent="0.25">
      <c r="A832">
        <v>413</v>
      </c>
      <c r="C832">
        <v>17315</v>
      </c>
      <c r="D832" t="s">
        <v>1495</v>
      </c>
      <c r="E832" t="s">
        <v>1125</v>
      </c>
      <c r="F832" t="s">
        <v>882</v>
      </c>
      <c r="G832" t="s">
        <v>1496</v>
      </c>
      <c r="H832" t="str">
        <f>"201511039675"</f>
        <v>201511039675</v>
      </c>
      <c r="I832">
        <v>842.6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30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Y832">
        <v>0</v>
      </c>
      <c r="Z832">
        <v>872.6</v>
      </c>
    </row>
    <row r="833" spans="1:26" x14ac:dyDescent="0.25">
      <c r="H833" t="s">
        <v>1497</v>
      </c>
    </row>
    <row r="834" spans="1:26" x14ac:dyDescent="0.25">
      <c r="A834">
        <v>414</v>
      </c>
      <c r="C834">
        <v>6088</v>
      </c>
      <c r="D834" t="s">
        <v>1498</v>
      </c>
      <c r="E834" t="s">
        <v>365</v>
      </c>
      <c r="F834" t="s">
        <v>39</v>
      </c>
      <c r="G834" t="s">
        <v>1499</v>
      </c>
      <c r="H834" t="str">
        <f>"201502002152"</f>
        <v>201502002152</v>
      </c>
      <c r="I834">
        <v>842.6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Y834">
        <v>0</v>
      </c>
      <c r="Z834">
        <v>872.6</v>
      </c>
    </row>
    <row r="835" spans="1:26" x14ac:dyDescent="0.25">
      <c r="H835" t="s">
        <v>1500</v>
      </c>
    </row>
    <row r="836" spans="1:26" x14ac:dyDescent="0.25">
      <c r="A836">
        <v>415</v>
      </c>
      <c r="C836">
        <v>11708</v>
      </c>
      <c r="D836" t="s">
        <v>1501</v>
      </c>
      <c r="E836" t="s">
        <v>1502</v>
      </c>
      <c r="F836" t="s">
        <v>51</v>
      </c>
      <c r="G836" t="s">
        <v>1503</v>
      </c>
      <c r="H836" t="str">
        <f>"00022612"</f>
        <v>00022612</v>
      </c>
      <c r="I836">
        <v>842.6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Y836">
        <v>0</v>
      </c>
      <c r="Z836">
        <v>872.6</v>
      </c>
    </row>
    <row r="837" spans="1:26" x14ac:dyDescent="0.25">
      <c r="H837" t="s">
        <v>1504</v>
      </c>
    </row>
    <row r="838" spans="1:26" x14ac:dyDescent="0.25">
      <c r="A838">
        <v>416</v>
      </c>
      <c r="C838">
        <v>8034</v>
      </c>
      <c r="D838" t="s">
        <v>1505</v>
      </c>
      <c r="E838" t="s">
        <v>1506</v>
      </c>
      <c r="F838" t="s">
        <v>78</v>
      </c>
      <c r="G838" t="s">
        <v>1507</v>
      </c>
      <c r="H838" t="str">
        <f>"201511025291"</f>
        <v>201511025291</v>
      </c>
      <c r="I838">
        <v>842.6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30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Y838">
        <v>0</v>
      </c>
      <c r="Z838">
        <v>872.6</v>
      </c>
    </row>
    <row r="839" spans="1:26" x14ac:dyDescent="0.25">
      <c r="H839" t="s">
        <v>1508</v>
      </c>
    </row>
    <row r="840" spans="1:26" x14ac:dyDescent="0.25">
      <c r="A840">
        <v>417</v>
      </c>
      <c r="C840">
        <v>16741</v>
      </c>
      <c r="D840" t="s">
        <v>1509</v>
      </c>
      <c r="E840" t="s">
        <v>248</v>
      </c>
      <c r="F840" t="s">
        <v>194</v>
      </c>
      <c r="G840" t="s">
        <v>1510</v>
      </c>
      <c r="H840" t="str">
        <f>"201511036695"</f>
        <v>201511036695</v>
      </c>
      <c r="I840">
        <v>801.9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70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Y840">
        <v>0</v>
      </c>
      <c r="Z840">
        <v>871.9</v>
      </c>
    </row>
    <row r="841" spans="1:26" x14ac:dyDescent="0.25">
      <c r="H841" t="s">
        <v>1511</v>
      </c>
    </row>
    <row r="842" spans="1:26" x14ac:dyDescent="0.25">
      <c r="A842">
        <v>418</v>
      </c>
      <c r="C842">
        <v>10258</v>
      </c>
      <c r="D842" t="s">
        <v>1512</v>
      </c>
      <c r="E842" t="s">
        <v>1513</v>
      </c>
      <c r="F842" t="s">
        <v>39</v>
      </c>
      <c r="G842" t="s">
        <v>1514</v>
      </c>
      <c r="H842" t="str">
        <f>"00079701"</f>
        <v>00079701</v>
      </c>
      <c r="I842">
        <v>801.9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70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Y842">
        <v>0</v>
      </c>
      <c r="Z842">
        <v>871.9</v>
      </c>
    </row>
    <row r="843" spans="1:26" x14ac:dyDescent="0.25">
      <c r="H843" t="s">
        <v>1515</v>
      </c>
    </row>
    <row r="844" spans="1:26" x14ac:dyDescent="0.25">
      <c r="A844">
        <v>419</v>
      </c>
      <c r="B844" t="s">
        <v>701</v>
      </c>
      <c r="C844">
        <v>8989</v>
      </c>
      <c r="D844" t="s">
        <v>1516</v>
      </c>
      <c r="E844" t="s">
        <v>182</v>
      </c>
      <c r="F844" t="s">
        <v>342</v>
      </c>
      <c r="G844" t="s">
        <v>1517</v>
      </c>
      <c r="H844" t="str">
        <f>"00032566"</f>
        <v>00032566</v>
      </c>
      <c r="I844">
        <v>801.9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70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Y844">
        <v>1</v>
      </c>
      <c r="Z844">
        <v>871.9</v>
      </c>
    </row>
    <row r="845" spans="1:26" x14ac:dyDescent="0.25">
      <c r="H845" t="s">
        <v>1518</v>
      </c>
    </row>
    <row r="846" spans="1:26" x14ac:dyDescent="0.25">
      <c r="A846">
        <v>420</v>
      </c>
      <c r="C846">
        <v>14701</v>
      </c>
      <c r="D846" t="s">
        <v>1519</v>
      </c>
      <c r="E846" t="s">
        <v>365</v>
      </c>
      <c r="F846" t="s">
        <v>148</v>
      </c>
      <c r="G846" t="s">
        <v>1520</v>
      </c>
      <c r="H846" t="str">
        <f>"201406003641"</f>
        <v>201406003641</v>
      </c>
      <c r="I846">
        <v>841.5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30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Y846">
        <v>0</v>
      </c>
      <c r="Z846">
        <v>871.5</v>
      </c>
    </row>
    <row r="847" spans="1:26" x14ac:dyDescent="0.25">
      <c r="H847" t="s">
        <v>1521</v>
      </c>
    </row>
    <row r="848" spans="1:26" x14ac:dyDescent="0.25">
      <c r="A848">
        <v>421</v>
      </c>
      <c r="C848">
        <v>1135</v>
      </c>
      <c r="D848" t="s">
        <v>1522</v>
      </c>
      <c r="E848" t="s">
        <v>1155</v>
      </c>
      <c r="F848" t="s">
        <v>73</v>
      </c>
      <c r="G848" t="s">
        <v>1523</v>
      </c>
      <c r="H848" t="str">
        <f>"00228396"</f>
        <v>00228396</v>
      </c>
      <c r="I848">
        <v>841.5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30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Y848">
        <v>0</v>
      </c>
      <c r="Z848">
        <v>871.5</v>
      </c>
    </row>
    <row r="849" spans="1:26" x14ac:dyDescent="0.25">
      <c r="H849" t="s">
        <v>1524</v>
      </c>
    </row>
    <row r="850" spans="1:26" x14ac:dyDescent="0.25">
      <c r="A850">
        <v>422</v>
      </c>
      <c r="C850">
        <v>11767</v>
      </c>
      <c r="D850" t="s">
        <v>1525</v>
      </c>
      <c r="E850" t="s">
        <v>284</v>
      </c>
      <c r="F850" t="s">
        <v>73</v>
      </c>
      <c r="G850" t="s">
        <v>1526</v>
      </c>
      <c r="H850" t="str">
        <f>"201510005147"</f>
        <v>201510005147</v>
      </c>
      <c r="I850">
        <v>871.2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Y850">
        <v>0</v>
      </c>
      <c r="Z850">
        <v>871.2</v>
      </c>
    </row>
    <row r="851" spans="1:26" x14ac:dyDescent="0.25">
      <c r="H851" t="s">
        <v>1527</v>
      </c>
    </row>
    <row r="852" spans="1:26" x14ac:dyDescent="0.25">
      <c r="A852">
        <v>423</v>
      </c>
      <c r="C852">
        <v>16563</v>
      </c>
      <c r="D852" t="s">
        <v>84</v>
      </c>
      <c r="E852" t="s">
        <v>1528</v>
      </c>
      <c r="F852" t="s">
        <v>148</v>
      </c>
      <c r="G852" t="s">
        <v>1529</v>
      </c>
      <c r="H852" t="str">
        <f>"00735256"</f>
        <v>00735256</v>
      </c>
      <c r="I852">
        <v>871.2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Y852">
        <v>0</v>
      </c>
      <c r="Z852">
        <v>871.2</v>
      </c>
    </row>
    <row r="853" spans="1:26" x14ac:dyDescent="0.25">
      <c r="H853" t="s">
        <v>1530</v>
      </c>
    </row>
    <row r="854" spans="1:26" x14ac:dyDescent="0.25">
      <c r="A854">
        <v>424</v>
      </c>
      <c r="C854">
        <v>3766</v>
      </c>
      <c r="D854" t="s">
        <v>1531</v>
      </c>
      <c r="E854" t="s">
        <v>248</v>
      </c>
      <c r="F854" t="s">
        <v>194</v>
      </c>
      <c r="G854" t="s">
        <v>1532</v>
      </c>
      <c r="H854" t="str">
        <f>"201402000214"</f>
        <v>201402000214</v>
      </c>
      <c r="I854">
        <v>840.4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30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Y854">
        <v>0</v>
      </c>
      <c r="Z854">
        <v>870.4</v>
      </c>
    </row>
    <row r="855" spans="1:26" x14ac:dyDescent="0.25">
      <c r="H855" t="s">
        <v>1533</v>
      </c>
    </row>
    <row r="856" spans="1:26" x14ac:dyDescent="0.25">
      <c r="A856">
        <v>425</v>
      </c>
      <c r="C856">
        <v>13473</v>
      </c>
      <c r="D856" t="s">
        <v>1534</v>
      </c>
      <c r="E856" t="s">
        <v>235</v>
      </c>
      <c r="F856" t="s">
        <v>84</v>
      </c>
      <c r="G856" t="s">
        <v>1535</v>
      </c>
      <c r="H856" t="str">
        <f>"201511016598"</f>
        <v>201511016598</v>
      </c>
      <c r="I856">
        <v>840.4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30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Y856">
        <v>0</v>
      </c>
      <c r="Z856">
        <v>870.4</v>
      </c>
    </row>
    <row r="857" spans="1:26" x14ac:dyDescent="0.25">
      <c r="H857" t="s">
        <v>1536</v>
      </c>
    </row>
    <row r="858" spans="1:26" x14ac:dyDescent="0.25">
      <c r="A858">
        <v>426</v>
      </c>
      <c r="C858">
        <v>6</v>
      </c>
      <c r="D858" t="s">
        <v>1537</v>
      </c>
      <c r="E858" t="s">
        <v>456</v>
      </c>
      <c r="F858" t="s">
        <v>84</v>
      </c>
      <c r="G858" t="s">
        <v>1538</v>
      </c>
      <c r="H858" t="str">
        <f>"00021694"</f>
        <v>00021694</v>
      </c>
      <c r="I858">
        <v>840.4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30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Y858">
        <v>0</v>
      </c>
      <c r="Z858">
        <v>870.4</v>
      </c>
    </row>
    <row r="859" spans="1:26" x14ac:dyDescent="0.25">
      <c r="H859" t="s">
        <v>1539</v>
      </c>
    </row>
    <row r="860" spans="1:26" x14ac:dyDescent="0.25">
      <c r="A860">
        <v>427</v>
      </c>
      <c r="B860" t="s">
        <v>1540</v>
      </c>
      <c r="C860">
        <v>6122</v>
      </c>
      <c r="D860" t="s">
        <v>1541</v>
      </c>
      <c r="E860" t="s">
        <v>902</v>
      </c>
      <c r="F860" t="s">
        <v>411</v>
      </c>
      <c r="G860" t="s">
        <v>1542</v>
      </c>
      <c r="H860" t="str">
        <f>"00679291"</f>
        <v>00679291</v>
      </c>
      <c r="I860">
        <v>870.1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Y860">
        <v>2</v>
      </c>
      <c r="Z860">
        <v>870.1</v>
      </c>
    </row>
    <row r="861" spans="1:26" x14ac:dyDescent="0.25">
      <c r="H861" t="s">
        <v>1543</v>
      </c>
    </row>
    <row r="862" spans="1:26" x14ac:dyDescent="0.25">
      <c r="A862">
        <v>428</v>
      </c>
      <c r="C862">
        <v>10114</v>
      </c>
      <c r="D862" t="s">
        <v>1544</v>
      </c>
      <c r="E862" t="s">
        <v>777</v>
      </c>
      <c r="F862" t="s">
        <v>127</v>
      </c>
      <c r="G862" t="s">
        <v>1545</v>
      </c>
      <c r="H862" t="str">
        <f>"201001000284"</f>
        <v>201001000284</v>
      </c>
      <c r="I862">
        <v>799.7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70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Y862">
        <v>0</v>
      </c>
      <c r="Z862">
        <v>869.7</v>
      </c>
    </row>
    <row r="863" spans="1:26" x14ac:dyDescent="0.25">
      <c r="H863" t="s">
        <v>1546</v>
      </c>
    </row>
    <row r="864" spans="1:26" x14ac:dyDescent="0.25">
      <c r="A864">
        <v>429</v>
      </c>
      <c r="C864">
        <v>7659</v>
      </c>
      <c r="D864" t="s">
        <v>1258</v>
      </c>
      <c r="E864" t="s">
        <v>112</v>
      </c>
      <c r="F864" t="s">
        <v>73</v>
      </c>
      <c r="G864" t="s">
        <v>1547</v>
      </c>
      <c r="H864" t="str">
        <f>"201302000118"</f>
        <v>201302000118</v>
      </c>
      <c r="I864">
        <v>839.3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30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Y864">
        <v>0</v>
      </c>
      <c r="Z864">
        <v>869.3</v>
      </c>
    </row>
    <row r="865" spans="1:26" x14ac:dyDescent="0.25">
      <c r="H865" t="s">
        <v>1548</v>
      </c>
    </row>
    <row r="866" spans="1:26" x14ac:dyDescent="0.25">
      <c r="A866">
        <v>430</v>
      </c>
      <c r="C866">
        <v>6566</v>
      </c>
      <c r="D866" t="s">
        <v>1549</v>
      </c>
      <c r="E866" t="s">
        <v>182</v>
      </c>
      <c r="F866" t="s">
        <v>39</v>
      </c>
      <c r="G866" t="s">
        <v>1550</v>
      </c>
      <c r="H866" t="str">
        <f>"00027903"</f>
        <v>00027903</v>
      </c>
      <c r="I866">
        <v>839.3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30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Y866">
        <v>0</v>
      </c>
      <c r="Z866">
        <v>869.3</v>
      </c>
    </row>
    <row r="867" spans="1:26" x14ac:dyDescent="0.25">
      <c r="H867" t="s">
        <v>1551</v>
      </c>
    </row>
    <row r="868" spans="1:26" x14ac:dyDescent="0.25">
      <c r="A868">
        <v>431</v>
      </c>
      <c r="C868">
        <v>2487</v>
      </c>
      <c r="D868" t="s">
        <v>142</v>
      </c>
      <c r="E868" t="s">
        <v>112</v>
      </c>
      <c r="F868" t="s">
        <v>90</v>
      </c>
      <c r="G868" t="s">
        <v>1552</v>
      </c>
      <c r="H868" t="str">
        <f>"201510004953"</f>
        <v>201510004953</v>
      </c>
      <c r="I868">
        <v>818.4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50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Y868">
        <v>0</v>
      </c>
      <c r="Z868">
        <v>868.4</v>
      </c>
    </row>
    <row r="869" spans="1:26" x14ac:dyDescent="0.25">
      <c r="H869" t="s">
        <v>1553</v>
      </c>
    </row>
    <row r="870" spans="1:26" x14ac:dyDescent="0.25">
      <c r="A870">
        <v>432</v>
      </c>
      <c r="C870">
        <v>10738</v>
      </c>
      <c r="D870" t="s">
        <v>1554</v>
      </c>
      <c r="E870" t="s">
        <v>1125</v>
      </c>
      <c r="F870" t="s">
        <v>79</v>
      </c>
      <c r="G870" t="s">
        <v>1555</v>
      </c>
      <c r="H870" t="str">
        <f>"201511042564"</f>
        <v>201511042564</v>
      </c>
      <c r="I870">
        <v>838.2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30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Y870">
        <v>0</v>
      </c>
      <c r="Z870">
        <v>868.2</v>
      </c>
    </row>
    <row r="871" spans="1:26" x14ac:dyDescent="0.25">
      <c r="H871" t="s">
        <v>1556</v>
      </c>
    </row>
    <row r="872" spans="1:26" x14ac:dyDescent="0.25">
      <c r="A872">
        <v>433</v>
      </c>
      <c r="C872">
        <v>16678</v>
      </c>
      <c r="D872" t="s">
        <v>112</v>
      </c>
      <c r="E872" t="s">
        <v>1557</v>
      </c>
      <c r="F872" t="s">
        <v>51</v>
      </c>
      <c r="G872" t="s">
        <v>1558</v>
      </c>
      <c r="H872" t="str">
        <f>"00103568"</f>
        <v>00103568</v>
      </c>
      <c r="I872">
        <v>838.2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30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Y872">
        <v>0</v>
      </c>
      <c r="Z872">
        <v>868.2</v>
      </c>
    </row>
    <row r="873" spans="1:26" x14ac:dyDescent="0.25">
      <c r="H873" t="s">
        <v>1559</v>
      </c>
    </row>
    <row r="874" spans="1:26" x14ac:dyDescent="0.25">
      <c r="A874">
        <v>434</v>
      </c>
      <c r="C874">
        <v>13941</v>
      </c>
      <c r="D874" t="s">
        <v>1361</v>
      </c>
      <c r="E874" t="s">
        <v>1560</v>
      </c>
      <c r="F874" t="s">
        <v>1561</v>
      </c>
      <c r="G874" t="s">
        <v>1562</v>
      </c>
      <c r="H874" t="str">
        <f>"00736677"</f>
        <v>00736677</v>
      </c>
      <c r="I874">
        <v>838.2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30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Y874">
        <v>0</v>
      </c>
      <c r="Z874">
        <v>868.2</v>
      </c>
    </row>
    <row r="875" spans="1:26" x14ac:dyDescent="0.25">
      <c r="H875" t="s">
        <v>1563</v>
      </c>
    </row>
    <row r="876" spans="1:26" x14ac:dyDescent="0.25">
      <c r="A876">
        <v>435</v>
      </c>
      <c r="C876">
        <v>5844</v>
      </c>
      <c r="D876" t="s">
        <v>1564</v>
      </c>
      <c r="E876" t="s">
        <v>475</v>
      </c>
      <c r="F876" t="s">
        <v>385</v>
      </c>
      <c r="G876" t="s">
        <v>1565</v>
      </c>
      <c r="H876" t="str">
        <f>"00102267"</f>
        <v>00102267</v>
      </c>
      <c r="I876">
        <v>867.9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Y876">
        <v>0</v>
      </c>
      <c r="Z876">
        <v>867.9</v>
      </c>
    </row>
    <row r="877" spans="1:26" x14ac:dyDescent="0.25">
      <c r="H877" t="s">
        <v>1566</v>
      </c>
    </row>
    <row r="878" spans="1:26" x14ac:dyDescent="0.25">
      <c r="A878">
        <v>436</v>
      </c>
      <c r="C878">
        <v>8046</v>
      </c>
      <c r="D878" t="s">
        <v>1567</v>
      </c>
      <c r="E878" t="s">
        <v>1568</v>
      </c>
      <c r="F878" t="s">
        <v>73</v>
      </c>
      <c r="G878" t="s">
        <v>1569</v>
      </c>
      <c r="H878" t="str">
        <f>"201511035296"</f>
        <v>201511035296</v>
      </c>
      <c r="I878">
        <v>867.9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Y878">
        <v>0</v>
      </c>
      <c r="Z878">
        <v>867.9</v>
      </c>
    </row>
    <row r="879" spans="1:26" x14ac:dyDescent="0.25">
      <c r="H879" t="s">
        <v>1570</v>
      </c>
    </row>
    <row r="880" spans="1:26" x14ac:dyDescent="0.25">
      <c r="A880">
        <v>437</v>
      </c>
      <c r="C880">
        <v>12880</v>
      </c>
      <c r="D880" t="s">
        <v>1571</v>
      </c>
      <c r="E880" t="s">
        <v>112</v>
      </c>
      <c r="F880" t="s">
        <v>430</v>
      </c>
      <c r="G880" t="s">
        <v>1572</v>
      </c>
      <c r="H880" t="str">
        <f>"201510002761"</f>
        <v>201510002761</v>
      </c>
      <c r="I880">
        <v>807.4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30</v>
      </c>
      <c r="P880">
        <v>30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Y880">
        <v>0</v>
      </c>
      <c r="Z880">
        <v>867.4</v>
      </c>
    </row>
    <row r="881" spans="1:26" x14ac:dyDescent="0.25">
      <c r="H881" t="s">
        <v>1573</v>
      </c>
    </row>
    <row r="882" spans="1:26" x14ac:dyDescent="0.25">
      <c r="A882">
        <v>438</v>
      </c>
      <c r="C882">
        <v>9541</v>
      </c>
      <c r="D882" t="s">
        <v>1574</v>
      </c>
      <c r="E882" t="s">
        <v>1575</v>
      </c>
      <c r="F882" t="s">
        <v>51</v>
      </c>
      <c r="G882" t="s">
        <v>1576</v>
      </c>
      <c r="H882" t="str">
        <f>"201511025162"</f>
        <v>201511025162</v>
      </c>
      <c r="I882">
        <v>837.1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30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Y882">
        <v>0</v>
      </c>
      <c r="Z882">
        <v>867.1</v>
      </c>
    </row>
    <row r="883" spans="1:26" x14ac:dyDescent="0.25">
      <c r="H883" t="s">
        <v>1577</v>
      </c>
    </row>
    <row r="884" spans="1:26" x14ac:dyDescent="0.25">
      <c r="A884">
        <v>439</v>
      </c>
      <c r="C884">
        <v>9949</v>
      </c>
      <c r="D884" t="s">
        <v>1578</v>
      </c>
      <c r="E884" t="s">
        <v>235</v>
      </c>
      <c r="F884" t="s">
        <v>39</v>
      </c>
      <c r="G884" t="s">
        <v>1579</v>
      </c>
      <c r="H884" t="str">
        <f>"201511035266"</f>
        <v>201511035266</v>
      </c>
      <c r="I884">
        <v>837.1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Y884">
        <v>0</v>
      </c>
      <c r="Z884">
        <v>867.1</v>
      </c>
    </row>
    <row r="885" spans="1:26" x14ac:dyDescent="0.25">
      <c r="H885" t="s">
        <v>1580</v>
      </c>
    </row>
    <row r="886" spans="1:26" x14ac:dyDescent="0.25">
      <c r="A886">
        <v>440</v>
      </c>
      <c r="C886">
        <v>9220</v>
      </c>
      <c r="D886" t="s">
        <v>1581</v>
      </c>
      <c r="E886" t="s">
        <v>248</v>
      </c>
      <c r="F886" t="s">
        <v>148</v>
      </c>
      <c r="G886" t="s">
        <v>1582</v>
      </c>
      <c r="H886" t="str">
        <f>"201406005762"</f>
        <v>201406005762</v>
      </c>
      <c r="I886">
        <v>837.1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30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Y886">
        <v>0</v>
      </c>
      <c r="Z886">
        <v>867.1</v>
      </c>
    </row>
    <row r="887" spans="1:26" x14ac:dyDescent="0.25">
      <c r="H887" t="s">
        <v>1583</v>
      </c>
    </row>
    <row r="888" spans="1:26" x14ac:dyDescent="0.25">
      <c r="A888">
        <v>441</v>
      </c>
      <c r="C888">
        <v>15182</v>
      </c>
      <c r="D888" t="s">
        <v>1584</v>
      </c>
      <c r="E888" t="s">
        <v>730</v>
      </c>
      <c r="F888" t="s">
        <v>51</v>
      </c>
      <c r="G888" t="s">
        <v>1585</v>
      </c>
      <c r="H888" t="str">
        <f>"201110000009"</f>
        <v>201110000009</v>
      </c>
      <c r="I888">
        <v>866.8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Y888">
        <v>0</v>
      </c>
      <c r="Z888">
        <v>866.8</v>
      </c>
    </row>
    <row r="889" spans="1:26" x14ac:dyDescent="0.25">
      <c r="H889" t="s">
        <v>1586</v>
      </c>
    </row>
    <row r="890" spans="1:26" x14ac:dyDescent="0.25">
      <c r="A890">
        <v>442</v>
      </c>
      <c r="C890">
        <v>7529</v>
      </c>
      <c r="D890" t="s">
        <v>1587</v>
      </c>
      <c r="E890" t="s">
        <v>1588</v>
      </c>
      <c r="F890" t="s">
        <v>240</v>
      </c>
      <c r="G890" t="s">
        <v>1589</v>
      </c>
      <c r="H890" t="str">
        <f>"00717963"</f>
        <v>00717963</v>
      </c>
      <c r="I890">
        <v>866.8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Y890">
        <v>0</v>
      </c>
      <c r="Z890">
        <v>866.8</v>
      </c>
    </row>
    <row r="891" spans="1:26" x14ac:dyDescent="0.25">
      <c r="H891" t="s">
        <v>1590</v>
      </c>
    </row>
    <row r="892" spans="1:26" x14ac:dyDescent="0.25">
      <c r="A892">
        <v>443</v>
      </c>
      <c r="C892">
        <v>12529</v>
      </c>
      <c r="D892" t="s">
        <v>1591</v>
      </c>
      <c r="E892" t="s">
        <v>248</v>
      </c>
      <c r="F892" t="s">
        <v>113</v>
      </c>
      <c r="G892" t="s">
        <v>1592</v>
      </c>
      <c r="H892" t="str">
        <f>"00738784"</f>
        <v>00738784</v>
      </c>
      <c r="I892">
        <v>806.3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30</v>
      </c>
      <c r="P892">
        <v>0</v>
      </c>
      <c r="Q892">
        <v>0</v>
      </c>
      <c r="R892">
        <v>0</v>
      </c>
      <c r="S892">
        <v>30</v>
      </c>
      <c r="T892">
        <v>0</v>
      </c>
      <c r="U892">
        <v>0</v>
      </c>
      <c r="V892">
        <v>0</v>
      </c>
      <c r="W892">
        <v>0</v>
      </c>
      <c r="Y892">
        <v>0</v>
      </c>
      <c r="Z892">
        <v>866.3</v>
      </c>
    </row>
    <row r="893" spans="1:26" x14ac:dyDescent="0.25">
      <c r="H893" t="s">
        <v>1593</v>
      </c>
    </row>
    <row r="894" spans="1:26" x14ac:dyDescent="0.25">
      <c r="A894">
        <v>444</v>
      </c>
      <c r="C894">
        <v>1553</v>
      </c>
      <c r="D894" t="s">
        <v>1594</v>
      </c>
      <c r="E894" t="s">
        <v>1595</v>
      </c>
      <c r="F894" t="s">
        <v>73</v>
      </c>
      <c r="G894" t="s">
        <v>1596</v>
      </c>
      <c r="H894" t="str">
        <f>"00616652"</f>
        <v>00616652</v>
      </c>
      <c r="I894">
        <v>836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30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Y894">
        <v>0</v>
      </c>
      <c r="Z894">
        <v>866</v>
      </c>
    </row>
    <row r="895" spans="1:26" x14ac:dyDescent="0.25">
      <c r="H895" t="s">
        <v>1597</v>
      </c>
    </row>
    <row r="896" spans="1:26" x14ac:dyDescent="0.25">
      <c r="A896">
        <v>445</v>
      </c>
      <c r="C896">
        <v>6668</v>
      </c>
      <c r="D896" t="s">
        <v>1598</v>
      </c>
      <c r="E896" t="s">
        <v>279</v>
      </c>
      <c r="F896" t="s">
        <v>90</v>
      </c>
      <c r="G896" t="s">
        <v>1599</v>
      </c>
      <c r="H896" t="str">
        <f>"200808000485"</f>
        <v>200808000485</v>
      </c>
      <c r="I896">
        <v>836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30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Y896">
        <v>0</v>
      </c>
      <c r="Z896">
        <v>866</v>
      </c>
    </row>
    <row r="897" spans="1:26" x14ac:dyDescent="0.25">
      <c r="H897" t="s">
        <v>1600</v>
      </c>
    </row>
    <row r="898" spans="1:26" x14ac:dyDescent="0.25">
      <c r="A898">
        <v>446</v>
      </c>
      <c r="C898">
        <v>6880</v>
      </c>
      <c r="D898" t="s">
        <v>1601</v>
      </c>
      <c r="E898" t="s">
        <v>194</v>
      </c>
      <c r="F898" t="s">
        <v>16</v>
      </c>
      <c r="G898" t="s">
        <v>1602</v>
      </c>
      <c r="H898" t="str">
        <f>"00445165"</f>
        <v>00445165</v>
      </c>
      <c r="I898">
        <v>836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30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Y898">
        <v>0</v>
      </c>
      <c r="Z898">
        <v>866</v>
      </c>
    </row>
    <row r="899" spans="1:26" x14ac:dyDescent="0.25">
      <c r="H899" t="s">
        <v>1603</v>
      </c>
    </row>
    <row r="900" spans="1:26" x14ac:dyDescent="0.25">
      <c r="A900">
        <v>447</v>
      </c>
      <c r="C900">
        <v>7608</v>
      </c>
      <c r="D900" t="s">
        <v>1604</v>
      </c>
      <c r="E900" t="s">
        <v>170</v>
      </c>
      <c r="F900" t="s">
        <v>194</v>
      </c>
      <c r="G900" t="s">
        <v>1605</v>
      </c>
      <c r="H900" t="str">
        <f>"00672246"</f>
        <v>00672246</v>
      </c>
      <c r="I900">
        <v>836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30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Y900">
        <v>0</v>
      </c>
      <c r="Z900">
        <v>866</v>
      </c>
    </row>
    <row r="901" spans="1:26" x14ac:dyDescent="0.25">
      <c r="H901" t="s">
        <v>1606</v>
      </c>
    </row>
    <row r="902" spans="1:26" x14ac:dyDescent="0.25">
      <c r="A902">
        <v>448</v>
      </c>
      <c r="C902">
        <v>8369</v>
      </c>
      <c r="D902" t="s">
        <v>1232</v>
      </c>
      <c r="E902" t="s">
        <v>39</v>
      </c>
      <c r="F902" t="s">
        <v>90</v>
      </c>
      <c r="G902" t="s">
        <v>1607</v>
      </c>
      <c r="H902" t="str">
        <f>"201511036729"</f>
        <v>201511036729</v>
      </c>
      <c r="I902">
        <v>865.7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Y902">
        <v>0</v>
      </c>
      <c r="Z902">
        <v>865.7</v>
      </c>
    </row>
    <row r="903" spans="1:26" x14ac:dyDescent="0.25">
      <c r="H903" t="s">
        <v>1608</v>
      </c>
    </row>
    <row r="904" spans="1:26" x14ac:dyDescent="0.25">
      <c r="A904">
        <v>449</v>
      </c>
      <c r="C904">
        <v>9699</v>
      </c>
      <c r="D904" t="s">
        <v>1609</v>
      </c>
      <c r="E904" t="s">
        <v>1610</v>
      </c>
      <c r="F904" t="s">
        <v>51</v>
      </c>
      <c r="G904" t="s">
        <v>1611</v>
      </c>
      <c r="H904" t="str">
        <f>"00673741"</f>
        <v>00673741</v>
      </c>
      <c r="I904">
        <v>795.3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70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Y904">
        <v>0</v>
      </c>
      <c r="Z904">
        <v>865.3</v>
      </c>
    </row>
    <row r="905" spans="1:26" x14ac:dyDescent="0.25">
      <c r="H905" t="s">
        <v>1612</v>
      </c>
    </row>
    <row r="906" spans="1:26" x14ac:dyDescent="0.25">
      <c r="A906">
        <v>450</v>
      </c>
      <c r="C906">
        <v>1991</v>
      </c>
      <c r="D906" t="s">
        <v>1613</v>
      </c>
      <c r="E906" t="s">
        <v>235</v>
      </c>
      <c r="F906" t="s">
        <v>90</v>
      </c>
      <c r="G906" t="s">
        <v>1614</v>
      </c>
      <c r="H906" t="str">
        <f>"00025386"</f>
        <v>00025386</v>
      </c>
      <c r="I906">
        <v>815.1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50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Y906">
        <v>0</v>
      </c>
      <c r="Z906">
        <v>865.1</v>
      </c>
    </row>
    <row r="907" spans="1:26" x14ac:dyDescent="0.25">
      <c r="H907" t="s">
        <v>1615</v>
      </c>
    </row>
    <row r="908" spans="1:26" x14ac:dyDescent="0.25">
      <c r="A908">
        <v>451</v>
      </c>
      <c r="C908">
        <v>14976</v>
      </c>
      <c r="D908" t="s">
        <v>1616</v>
      </c>
      <c r="E908" t="s">
        <v>1125</v>
      </c>
      <c r="F908" t="s">
        <v>144</v>
      </c>
      <c r="G908" t="s">
        <v>1617</v>
      </c>
      <c r="H908" t="str">
        <f>"00733288"</f>
        <v>00733288</v>
      </c>
      <c r="I908">
        <v>834.9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30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Y908">
        <v>0</v>
      </c>
      <c r="Z908">
        <v>864.9</v>
      </c>
    </row>
    <row r="909" spans="1:26" x14ac:dyDescent="0.25">
      <c r="H909" t="s">
        <v>1618</v>
      </c>
    </row>
    <row r="910" spans="1:26" x14ac:dyDescent="0.25">
      <c r="A910">
        <v>452</v>
      </c>
      <c r="C910">
        <v>15200</v>
      </c>
      <c r="D910" t="s">
        <v>1619</v>
      </c>
      <c r="E910" t="s">
        <v>829</v>
      </c>
      <c r="F910" t="s">
        <v>108</v>
      </c>
      <c r="G910" t="s">
        <v>1620</v>
      </c>
      <c r="H910" t="str">
        <f>"201104000116"</f>
        <v>201104000116</v>
      </c>
      <c r="I910">
        <v>834.9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30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Y910">
        <v>0</v>
      </c>
      <c r="Z910">
        <v>864.9</v>
      </c>
    </row>
    <row r="911" spans="1:26" x14ac:dyDescent="0.25">
      <c r="H911" t="s">
        <v>1621</v>
      </c>
    </row>
    <row r="912" spans="1:26" x14ac:dyDescent="0.25">
      <c r="A912">
        <v>453</v>
      </c>
      <c r="C912">
        <v>15369</v>
      </c>
      <c r="D912" t="s">
        <v>550</v>
      </c>
      <c r="E912" t="s">
        <v>1622</v>
      </c>
      <c r="F912" t="s">
        <v>1623</v>
      </c>
      <c r="G912" t="s">
        <v>1624</v>
      </c>
      <c r="H912" t="str">
        <f>"00021306"</f>
        <v>00021306</v>
      </c>
      <c r="I912">
        <v>833.8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30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Y912">
        <v>0</v>
      </c>
      <c r="Z912">
        <v>863.8</v>
      </c>
    </row>
    <row r="913" spans="1:26" x14ac:dyDescent="0.25">
      <c r="H913" t="s">
        <v>1625</v>
      </c>
    </row>
    <row r="914" spans="1:26" x14ac:dyDescent="0.25">
      <c r="A914">
        <v>454</v>
      </c>
      <c r="C914">
        <v>11515</v>
      </c>
      <c r="D914" t="s">
        <v>1626</v>
      </c>
      <c r="E914" t="s">
        <v>1560</v>
      </c>
      <c r="F914" t="s">
        <v>122</v>
      </c>
      <c r="G914" t="s">
        <v>1627</v>
      </c>
      <c r="H914" t="str">
        <f>"00631397"</f>
        <v>00631397</v>
      </c>
      <c r="I914">
        <v>833.8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30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Y914">
        <v>0</v>
      </c>
      <c r="Z914">
        <v>863.8</v>
      </c>
    </row>
    <row r="915" spans="1:26" x14ac:dyDescent="0.25">
      <c r="H915" t="s">
        <v>1628</v>
      </c>
    </row>
    <row r="916" spans="1:26" x14ac:dyDescent="0.25">
      <c r="A916">
        <v>455</v>
      </c>
      <c r="C916">
        <v>9233</v>
      </c>
      <c r="D916" t="s">
        <v>1629</v>
      </c>
      <c r="E916" t="s">
        <v>314</v>
      </c>
      <c r="F916" t="s">
        <v>16</v>
      </c>
      <c r="G916" t="s">
        <v>1630</v>
      </c>
      <c r="H916" t="str">
        <f>"201102000480"</f>
        <v>201102000480</v>
      </c>
      <c r="I916">
        <v>863.5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Y916">
        <v>0</v>
      </c>
      <c r="Z916">
        <v>863.5</v>
      </c>
    </row>
    <row r="917" spans="1:26" x14ac:dyDescent="0.25">
      <c r="H917" t="s">
        <v>1631</v>
      </c>
    </row>
    <row r="918" spans="1:26" x14ac:dyDescent="0.25">
      <c r="A918">
        <v>456</v>
      </c>
      <c r="C918">
        <v>9656</v>
      </c>
      <c r="D918" t="s">
        <v>1632</v>
      </c>
      <c r="E918" t="s">
        <v>182</v>
      </c>
      <c r="F918" t="s">
        <v>165</v>
      </c>
      <c r="G918" t="s">
        <v>1633</v>
      </c>
      <c r="H918" t="str">
        <f>"201504000787"</f>
        <v>201504000787</v>
      </c>
      <c r="I918">
        <v>863.5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Y918">
        <v>1</v>
      </c>
      <c r="Z918">
        <v>863.5</v>
      </c>
    </row>
    <row r="919" spans="1:26" x14ac:dyDescent="0.25">
      <c r="H919" t="s">
        <v>1634</v>
      </c>
    </row>
    <row r="920" spans="1:26" x14ac:dyDescent="0.25">
      <c r="A920">
        <v>457</v>
      </c>
      <c r="C920">
        <v>10447</v>
      </c>
      <c r="D920" t="s">
        <v>1635</v>
      </c>
      <c r="E920" t="s">
        <v>1636</v>
      </c>
      <c r="F920" t="s">
        <v>73</v>
      </c>
      <c r="G920" t="s">
        <v>1637</v>
      </c>
      <c r="H920" t="str">
        <f>"00674102"</f>
        <v>00674102</v>
      </c>
      <c r="I920">
        <v>793.1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70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Y920">
        <v>0</v>
      </c>
      <c r="Z920">
        <v>863.1</v>
      </c>
    </row>
    <row r="921" spans="1:26" x14ac:dyDescent="0.25">
      <c r="H921" t="s">
        <v>1638</v>
      </c>
    </row>
    <row r="922" spans="1:26" x14ac:dyDescent="0.25">
      <c r="A922">
        <v>458</v>
      </c>
      <c r="C922">
        <v>8875</v>
      </c>
      <c r="D922" t="s">
        <v>1639</v>
      </c>
      <c r="E922" t="s">
        <v>56</v>
      </c>
      <c r="F922" t="s">
        <v>1264</v>
      </c>
      <c r="G922" t="s">
        <v>1640</v>
      </c>
      <c r="H922" t="str">
        <f>"201510000854"</f>
        <v>201510000854</v>
      </c>
      <c r="I922">
        <v>832.7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30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Y922">
        <v>0</v>
      </c>
      <c r="Z922">
        <v>862.7</v>
      </c>
    </row>
    <row r="923" spans="1:26" x14ac:dyDescent="0.25">
      <c r="H923" t="s">
        <v>1641</v>
      </c>
    </row>
    <row r="924" spans="1:26" x14ac:dyDescent="0.25">
      <c r="A924">
        <v>459</v>
      </c>
      <c r="C924">
        <v>7563</v>
      </c>
      <c r="D924" t="s">
        <v>1642</v>
      </c>
      <c r="E924" t="s">
        <v>170</v>
      </c>
      <c r="F924" t="s">
        <v>165</v>
      </c>
      <c r="G924" t="s">
        <v>1643</v>
      </c>
      <c r="H924" t="str">
        <f>"201511042291"</f>
        <v>201511042291</v>
      </c>
      <c r="I924">
        <v>832.7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30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Y924">
        <v>0</v>
      </c>
      <c r="Z924">
        <v>862.7</v>
      </c>
    </row>
    <row r="925" spans="1:26" x14ac:dyDescent="0.25">
      <c r="H925" t="s">
        <v>1644</v>
      </c>
    </row>
    <row r="926" spans="1:26" x14ac:dyDescent="0.25">
      <c r="A926">
        <v>460</v>
      </c>
      <c r="C926">
        <v>8857</v>
      </c>
      <c r="D926" t="s">
        <v>1645</v>
      </c>
      <c r="E926" t="s">
        <v>1646</v>
      </c>
      <c r="F926" t="s">
        <v>51</v>
      </c>
      <c r="G926" t="s">
        <v>1647</v>
      </c>
      <c r="H926" t="str">
        <f>"00086908"</f>
        <v>00086908</v>
      </c>
      <c r="I926">
        <v>832.7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30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Y926">
        <v>0</v>
      </c>
      <c r="Z926">
        <v>862.7</v>
      </c>
    </row>
    <row r="927" spans="1:26" x14ac:dyDescent="0.25">
      <c r="H927" t="s">
        <v>1648</v>
      </c>
    </row>
    <row r="928" spans="1:26" x14ac:dyDescent="0.25">
      <c r="A928">
        <v>461</v>
      </c>
      <c r="C928">
        <v>2496</v>
      </c>
      <c r="D928" t="s">
        <v>1649</v>
      </c>
      <c r="E928" t="s">
        <v>67</v>
      </c>
      <c r="F928" t="s">
        <v>268</v>
      </c>
      <c r="G928" t="s">
        <v>1650</v>
      </c>
      <c r="H928" t="str">
        <f>"201511042032"</f>
        <v>201511042032</v>
      </c>
      <c r="I928">
        <v>862.4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Y928">
        <v>0</v>
      </c>
      <c r="Z928">
        <v>862.4</v>
      </c>
    </row>
    <row r="929" spans="1:26" x14ac:dyDescent="0.25">
      <c r="H929" t="s">
        <v>1651</v>
      </c>
    </row>
    <row r="930" spans="1:26" x14ac:dyDescent="0.25">
      <c r="A930">
        <v>462</v>
      </c>
      <c r="C930">
        <v>1600</v>
      </c>
      <c r="D930" t="s">
        <v>1652</v>
      </c>
      <c r="E930" t="s">
        <v>1653</v>
      </c>
      <c r="F930" t="s">
        <v>1654</v>
      </c>
      <c r="G930" t="s">
        <v>1655</v>
      </c>
      <c r="H930" t="str">
        <f>"00663343"</f>
        <v>00663343</v>
      </c>
      <c r="I930">
        <v>762.3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50</v>
      </c>
      <c r="P930">
        <v>50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Y930">
        <v>0</v>
      </c>
      <c r="Z930">
        <v>862.3</v>
      </c>
    </row>
    <row r="931" spans="1:26" x14ac:dyDescent="0.25">
      <c r="H931" t="s">
        <v>1656</v>
      </c>
    </row>
    <row r="932" spans="1:26" x14ac:dyDescent="0.25">
      <c r="A932">
        <v>463</v>
      </c>
      <c r="C932">
        <v>5415</v>
      </c>
      <c r="D932" t="s">
        <v>1657</v>
      </c>
      <c r="E932" t="s">
        <v>138</v>
      </c>
      <c r="F932" t="s">
        <v>51</v>
      </c>
      <c r="G932" t="s">
        <v>1658</v>
      </c>
      <c r="H932" t="str">
        <f>"201511039237"</f>
        <v>201511039237</v>
      </c>
      <c r="I932">
        <v>792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70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Y932">
        <v>0</v>
      </c>
      <c r="Z932">
        <v>862</v>
      </c>
    </row>
    <row r="933" spans="1:26" x14ac:dyDescent="0.25">
      <c r="H933" t="s">
        <v>1659</v>
      </c>
    </row>
    <row r="934" spans="1:26" x14ac:dyDescent="0.25">
      <c r="A934">
        <v>464</v>
      </c>
      <c r="C934">
        <v>13163</v>
      </c>
      <c r="D934" t="s">
        <v>1660</v>
      </c>
      <c r="E934" t="s">
        <v>164</v>
      </c>
      <c r="F934" t="s">
        <v>84</v>
      </c>
      <c r="G934" t="s">
        <v>1661</v>
      </c>
      <c r="H934" t="str">
        <f>"00016604"</f>
        <v>00016604</v>
      </c>
      <c r="I934">
        <v>792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70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Y934">
        <v>0</v>
      </c>
      <c r="Z934">
        <v>862</v>
      </c>
    </row>
    <row r="935" spans="1:26" x14ac:dyDescent="0.25">
      <c r="H935" t="s">
        <v>1662</v>
      </c>
    </row>
    <row r="936" spans="1:26" x14ac:dyDescent="0.25">
      <c r="A936">
        <v>465</v>
      </c>
      <c r="C936">
        <v>700</v>
      </c>
      <c r="D936" t="s">
        <v>1663</v>
      </c>
      <c r="E936" t="s">
        <v>170</v>
      </c>
      <c r="F936" t="s">
        <v>39</v>
      </c>
      <c r="G936" t="s">
        <v>1664</v>
      </c>
      <c r="H936" t="str">
        <f>"201004000125"</f>
        <v>201004000125</v>
      </c>
      <c r="I936">
        <v>801.9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30</v>
      </c>
      <c r="P936">
        <v>30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Y936">
        <v>0</v>
      </c>
      <c r="Z936">
        <v>861.9</v>
      </c>
    </row>
    <row r="937" spans="1:26" x14ac:dyDescent="0.25">
      <c r="H937" t="s">
        <v>1665</v>
      </c>
    </row>
    <row r="938" spans="1:26" x14ac:dyDescent="0.25">
      <c r="A938">
        <v>466</v>
      </c>
      <c r="C938">
        <v>7339</v>
      </c>
      <c r="D938" t="s">
        <v>1666</v>
      </c>
      <c r="E938" t="s">
        <v>1667</v>
      </c>
      <c r="F938" t="s">
        <v>144</v>
      </c>
      <c r="G938" t="s">
        <v>1668</v>
      </c>
      <c r="H938" t="str">
        <f>"00562390"</f>
        <v>00562390</v>
      </c>
      <c r="I938">
        <v>811.8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50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Y938">
        <v>0</v>
      </c>
      <c r="Z938">
        <v>861.8</v>
      </c>
    </row>
    <row r="939" spans="1:26" x14ac:dyDescent="0.25">
      <c r="H939" t="s">
        <v>1669</v>
      </c>
    </row>
    <row r="940" spans="1:26" x14ac:dyDescent="0.25">
      <c r="A940">
        <v>467</v>
      </c>
      <c r="C940">
        <v>4778</v>
      </c>
      <c r="D940" t="s">
        <v>1670</v>
      </c>
      <c r="E940" t="s">
        <v>112</v>
      </c>
      <c r="F940" t="s">
        <v>90</v>
      </c>
      <c r="G940" t="s">
        <v>1671</v>
      </c>
      <c r="H940" t="str">
        <f>"201510005001"</f>
        <v>201510005001</v>
      </c>
      <c r="I940">
        <v>831.6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30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Y940">
        <v>0</v>
      </c>
      <c r="Z940">
        <v>861.6</v>
      </c>
    </row>
    <row r="941" spans="1:26" x14ac:dyDescent="0.25">
      <c r="H941" t="s">
        <v>1672</v>
      </c>
    </row>
    <row r="942" spans="1:26" x14ac:dyDescent="0.25">
      <c r="A942">
        <v>468</v>
      </c>
      <c r="C942">
        <v>6105</v>
      </c>
      <c r="D942" t="s">
        <v>1673</v>
      </c>
      <c r="E942" t="s">
        <v>112</v>
      </c>
      <c r="F942" t="s">
        <v>342</v>
      </c>
      <c r="G942" t="s">
        <v>1674</v>
      </c>
      <c r="H942" t="str">
        <f>"201507004653"</f>
        <v>201507004653</v>
      </c>
      <c r="I942">
        <v>831.6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30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Y942">
        <v>0</v>
      </c>
      <c r="Z942">
        <v>861.6</v>
      </c>
    </row>
    <row r="943" spans="1:26" x14ac:dyDescent="0.25">
      <c r="H943" t="s">
        <v>1675</v>
      </c>
    </row>
    <row r="944" spans="1:26" x14ac:dyDescent="0.25">
      <c r="A944">
        <v>469</v>
      </c>
      <c r="C944">
        <v>17763</v>
      </c>
      <c r="D944" t="s">
        <v>1676</v>
      </c>
      <c r="E944" t="s">
        <v>821</v>
      </c>
      <c r="F944" t="s">
        <v>1677</v>
      </c>
      <c r="G944" t="s">
        <v>1678</v>
      </c>
      <c r="H944" t="str">
        <f>"00076809"</f>
        <v>00076809</v>
      </c>
      <c r="I944">
        <v>831.6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30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Y944">
        <v>0</v>
      </c>
      <c r="Z944">
        <v>861.6</v>
      </c>
    </row>
    <row r="945" spans="1:26" x14ac:dyDescent="0.25">
      <c r="H945" t="s">
        <v>1679</v>
      </c>
    </row>
    <row r="946" spans="1:26" x14ac:dyDescent="0.25">
      <c r="A946">
        <v>470</v>
      </c>
      <c r="C946">
        <v>12710</v>
      </c>
      <c r="D946" t="s">
        <v>1090</v>
      </c>
      <c r="E946" t="s">
        <v>112</v>
      </c>
      <c r="F946" t="s">
        <v>965</v>
      </c>
      <c r="G946" t="s">
        <v>1680</v>
      </c>
      <c r="H946" t="str">
        <f>"00739684"</f>
        <v>00739684</v>
      </c>
      <c r="I946">
        <v>810.7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50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Y946">
        <v>0</v>
      </c>
      <c r="Z946">
        <v>860.7</v>
      </c>
    </row>
    <row r="947" spans="1:26" x14ac:dyDescent="0.25">
      <c r="H947" t="s">
        <v>1681</v>
      </c>
    </row>
    <row r="948" spans="1:26" x14ac:dyDescent="0.25">
      <c r="A948">
        <v>471</v>
      </c>
      <c r="C948">
        <v>15874</v>
      </c>
      <c r="D948" t="s">
        <v>1682</v>
      </c>
      <c r="E948" t="s">
        <v>112</v>
      </c>
      <c r="F948" t="s">
        <v>127</v>
      </c>
      <c r="G948" t="s">
        <v>1683</v>
      </c>
      <c r="H948" t="str">
        <f>"201511029460"</f>
        <v>201511029460</v>
      </c>
      <c r="I948">
        <v>810.7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50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Y948">
        <v>0</v>
      </c>
      <c r="Z948">
        <v>860.7</v>
      </c>
    </row>
    <row r="949" spans="1:26" x14ac:dyDescent="0.25">
      <c r="H949" t="s">
        <v>1684</v>
      </c>
    </row>
    <row r="950" spans="1:26" x14ac:dyDescent="0.25">
      <c r="A950">
        <v>472</v>
      </c>
      <c r="C950">
        <v>9260</v>
      </c>
      <c r="D950" t="s">
        <v>1685</v>
      </c>
      <c r="E950" t="s">
        <v>235</v>
      </c>
      <c r="F950" t="s">
        <v>138</v>
      </c>
      <c r="G950" t="s">
        <v>1686</v>
      </c>
      <c r="H950" t="str">
        <f>"00541861"</f>
        <v>00541861</v>
      </c>
      <c r="I950">
        <v>810.7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50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Y950">
        <v>0</v>
      </c>
      <c r="Z950">
        <v>860.7</v>
      </c>
    </row>
    <row r="951" spans="1:26" x14ac:dyDescent="0.25">
      <c r="H951" t="s">
        <v>1687</v>
      </c>
    </row>
    <row r="952" spans="1:26" x14ac:dyDescent="0.25">
      <c r="A952">
        <v>473</v>
      </c>
      <c r="C952">
        <v>16167</v>
      </c>
      <c r="D952" t="s">
        <v>1688</v>
      </c>
      <c r="E952" t="s">
        <v>56</v>
      </c>
      <c r="F952" t="s">
        <v>194</v>
      </c>
      <c r="G952" t="s">
        <v>1689</v>
      </c>
      <c r="H952" t="str">
        <f>"201405002104"</f>
        <v>201405002104</v>
      </c>
      <c r="I952">
        <v>830.5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30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Y952">
        <v>0</v>
      </c>
      <c r="Z952">
        <v>860.5</v>
      </c>
    </row>
    <row r="953" spans="1:26" x14ac:dyDescent="0.25">
      <c r="H953" t="s">
        <v>1690</v>
      </c>
    </row>
    <row r="954" spans="1:26" x14ac:dyDescent="0.25">
      <c r="A954">
        <v>474</v>
      </c>
      <c r="C954">
        <v>9714</v>
      </c>
      <c r="D954" t="s">
        <v>1691</v>
      </c>
      <c r="E954" t="s">
        <v>1692</v>
      </c>
      <c r="F954" t="s">
        <v>456</v>
      </c>
      <c r="G954" t="s">
        <v>1693</v>
      </c>
      <c r="H954" t="str">
        <f>"00017989"</f>
        <v>00017989</v>
      </c>
      <c r="I954">
        <v>830.5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30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Y954">
        <v>0</v>
      </c>
      <c r="Z954">
        <v>860.5</v>
      </c>
    </row>
    <row r="955" spans="1:26" x14ac:dyDescent="0.25">
      <c r="H955" t="s">
        <v>1694</v>
      </c>
    </row>
    <row r="956" spans="1:26" x14ac:dyDescent="0.25">
      <c r="A956">
        <v>475</v>
      </c>
      <c r="C956">
        <v>7360</v>
      </c>
      <c r="D956" t="s">
        <v>1695</v>
      </c>
      <c r="E956" t="s">
        <v>84</v>
      </c>
      <c r="F956" t="s">
        <v>1696</v>
      </c>
      <c r="G956" t="s">
        <v>1697</v>
      </c>
      <c r="H956" t="str">
        <f>"00223224"</f>
        <v>00223224</v>
      </c>
      <c r="I956">
        <v>830.5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30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Y956">
        <v>0</v>
      </c>
      <c r="Z956">
        <v>860.5</v>
      </c>
    </row>
    <row r="957" spans="1:26" x14ac:dyDescent="0.25">
      <c r="H957" t="s">
        <v>1698</v>
      </c>
    </row>
    <row r="958" spans="1:26" x14ac:dyDescent="0.25">
      <c r="A958">
        <v>476</v>
      </c>
      <c r="C958">
        <v>11369</v>
      </c>
      <c r="D958" t="s">
        <v>1699</v>
      </c>
      <c r="E958" t="s">
        <v>777</v>
      </c>
      <c r="F958" t="s">
        <v>16</v>
      </c>
      <c r="G958" t="s">
        <v>1700</v>
      </c>
      <c r="H958" t="str">
        <f>"00494918"</f>
        <v>00494918</v>
      </c>
      <c r="I958">
        <v>830.5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30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Y958">
        <v>0</v>
      </c>
      <c r="Z958">
        <v>860.5</v>
      </c>
    </row>
    <row r="959" spans="1:26" x14ac:dyDescent="0.25">
      <c r="H959" t="s">
        <v>1701</v>
      </c>
    </row>
    <row r="960" spans="1:26" x14ac:dyDescent="0.25">
      <c r="A960">
        <v>477</v>
      </c>
      <c r="C960">
        <v>12198</v>
      </c>
      <c r="D960" t="s">
        <v>1702</v>
      </c>
      <c r="E960" t="s">
        <v>373</v>
      </c>
      <c r="F960" t="s">
        <v>78</v>
      </c>
      <c r="G960" t="s">
        <v>1703</v>
      </c>
      <c r="H960" t="str">
        <f>"201511026579"</f>
        <v>201511026579</v>
      </c>
      <c r="I960">
        <v>789.8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70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Y960">
        <v>0</v>
      </c>
      <c r="Z960">
        <v>859.8</v>
      </c>
    </row>
    <row r="961" spans="1:26" x14ac:dyDescent="0.25">
      <c r="H961" t="s">
        <v>1704</v>
      </c>
    </row>
    <row r="962" spans="1:26" x14ac:dyDescent="0.25">
      <c r="A962">
        <v>478</v>
      </c>
      <c r="C962">
        <v>3313</v>
      </c>
      <c r="D962" t="s">
        <v>1705</v>
      </c>
      <c r="E962" t="s">
        <v>164</v>
      </c>
      <c r="F962" t="s">
        <v>39</v>
      </c>
      <c r="G962" t="s">
        <v>1706</v>
      </c>
      <c r="H962" t="str">
        <f>"00471321"</f>
        <v>00471321</v>
      </c>
      <c r="I962">
        <v>789.8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70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Y962">
        <v>0</v>
      </c>
      <c r="Z962">
        <v>859.8</v>
      </c>
    </row>
    <row r="963" spans="1:26" x14ac:dyDescent="0.25">
      <c r="H963" t="s">
        <v>1707</v>
      </c>
    </row>
    <row r="964" spans="1:26" x14ac:dyDescent="0.25">
      <c r="A964">
        <v>479</v>
      </c>
      <c r="C964">
        <v>12084</v>
      </c>
      <c r="D964" t="s">
        <v>1708</v>
      </c>
      <c r="E964" t="s">
        <v>415</v>
      </c>
      <c r="F964" t="s">
        <v>597</v>
      </c>
      <c r="G964" t="s">
        <v>1709</v>
      </c>
      <c r="H964" t="str">
        <f>"201011000049"</f>
        <v>201011000049</v>
      </c>
      <c r="I964">
        <v>859.1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Y964">
        <v>0</v>
      </c>
      <c r="Z964">
        <v>859.1</v>
      </c>
    </row>
    <row r="965" spans="1:26" x14ac:dyDescent="0.25">
      <c r="H965" t="s">
        <v>1710</v>
      </c>
    </row>
    <row r="966" spans="1:26" x14ac:dyDescent="0.25">
      <c r="A966">
        <v>480</v>
      </c>
      <c r="C966">
        <v>15633</v>
      </c>
      <c r="D966" t="s">
        <v>1711</v>
      </c>
      <c r="E966" t="s">
        <v>73</v>
      </c>
      <c r="F966" t="s">
        <v>1712</v>
      </c>
      <c r="G966" t="s">
        <v>1713</v>
      </c>
      <c r="H966" t="str">
        <f>"00484423"</f>
        <v>00484423</v>
      </c>
      <c r="I966">
        <v>788.7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70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Y966">
        <v>0</v>
      </c>
      <c r="Z966">
        <v>858.7</v>
      </c>
    </row>
    <row r="967" spans="1:26" x14ac:dyDescent="0.25">
      <c r="H967" t="s">
        <v>1714</v>
      </c>
    </row>
    <row r="968" spans="1:26" x14ac:dyDescent="0.25">
      <c r="A968">
        <v>481</v>
      </c>
      <c r="C968">
        <v>12035</v>
      </c>
      <c r="D968" t="s">
        <v>1715</v>
      </c>
      <c r="E968" t="s">
        <v>1716</v>
      </c>
      <c r="F968" t="s">
        <v>342</v>
      </c>
      <c r="G968" t="s">
        <v>1717</v>
      </c>
      <c r="H968" t="str">
        <f>"00735244"</f>
        <v>00735244</v>
      </c>
      <c r="I968">
        <v>798.6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30</v>
      </c>
      <c r="P968">
        <v>0</v>
      </c>
      <c r="Q968">
        <v>30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Y968">
        <v>0</v>
      </c>
      <c r="Z968">
        <v>858.6</v>
      </c>
    </row>
    <row r="969" spans="1:26" x14ac:dyDescent="0.25">
      <c r="H969" t="s">
        <v>1718</v>
      </c>
    </row>
    <row r="970" spans="1:26" x14ac:dyDescent="0.25">
      <c r="A970">
        <v>482</v>
      </c>
      <c r="C970">
        <v>12572</v>
      </c>
      <c r="D970" t="s">
        <v>1719</v>
      </c>
      <c r="E970" t="s">
        <v>193</v>
      </c>
      <c r="F970" t="s">
        <v>73</v>
      </c>
      <c r="G970" t="s">
        <v>1720</v>
      </c>
      <c r="H970" t="str">
        <f>"201511035054"</f>
        <v>201511035054</v>
      </c>
      <c r="I970">
        <v>828.3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30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Y970">
        <v>0</v>
      </c>
      <c r="Z970">
        <v>858.3</v>
      </c>
    </row>
    <row r="971" spans="1:26" x14ac:dyDescent="0.25">
      <c r="H971" t="s">
        <v>1721</v>
      </c>
    </row>
    <row r="972" spans="1:26" x14ac:dyDescent="0.25">
      <c r="A972">
        <v>483</v>
      </c>
      <c r="B972" t="s">
        <v>1722</v>
      </c>
      <c r="C972">
        <v>17231</v>
      </c>
      <c r="D972" t="s">
        <v>1723</v>
      </c>
      <c r="E972" t="s">
        <v>112</v>
      </c>
      <c r="F972" t="s">
        <v>148</v>
      </c>
      <c r="G972" t="s">
        <v>1724</v>
      </c>
      <c r="H972" t="str">
        <f>"201511036633"</f>
        <v>201511036633</v>
      </c>
      <c r="I972">
        <v>828.3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30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Y972">
        <v>0</v>
      </c>
      <c r="Z972">
        <v>858.3</v>
      </c>
    </row>
    <row r="973" spans="1:26" x14ac:dyDescent="0.25">
      <c r="H973" t="s">
        <v>1725</v>
      </c>
    </row>
    <row r="974" spans="1:26" x14ac:dyDescent="0.25">
      <c r="A974">
        <v>484</v>
      </c>
      <c r="C974">
        <v>11702</v>
      </c>
      <c r="D974" t="s">
        <v>1726</v>
      </c>
      <c r="E974" t="s">
        <v>38</v>
      </c>
      <c r="F974" t="s">
        <v>1727</v>
      </c>
      <c r="G974" t="s">
        <v>1728</v>
      </c>
      <c r="H974" t="str">
        <f>"00488478"</f>
        <v>00488478</v>
      </c>
      <c r="I974">
        <v>828.3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30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Y974">
        <v>0</v>
      </c>
      <c r="Z974">
        <v>858.3</v>
      </c>
    </row>
    <row r="975" spans="1:26" x14ac:dyDescent="0.25">
      <c r="H975" t="s">
        <v>1729</v>
      </c>
    </row>
    <row r="976" spans="1:26" x14ac:dyDescent="0.25">
      <c r="A976">
        <v>485</v>
      </c>
      <c r="B976" t="s">
        <v>48</v>
      </c>
      <c r="C976">
        <v>3882</v>
      </c>
      <c r="D976" t="s">
        <v>1730</v>
      </c>
      <c r="E976" t="s">
        <v>1731</v>
      </c>
      <c r="F976" t="s">
        <v>1732</v>
      </c>
      <c r="G976" t="s">
        <v>1733</v>
      </c>
      <c r="H976" t="str">
        <f>"00666132"</f>
        <v>00666132</v>
      </c>
      <c r="I976">
        <v>828.3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Y976">
        <v>0</v>
      </c>
      <c r="Z976">
        <v>858.3</v>
      </c>
    </row>
    <row r="977" spans="1:26" x14ac:dyDescent="0.25">
      <c r="H977" t="s">
        <v>1734</v>
      </c>
    </row>
    <row r="978" spans="1:26" x14ac:dyDescent="0.25">
      <c r="A978">
        <v>486</v>
      </c>
      <c r="C978">
        <v>5253</v>
      </c>
      <c r="D978" t="s">
        <v>1735</v>
      </c>
      <c r="E978" t="s">
        <v>164</v>
      </c>
      <c r="F978" t="s">
        <v>1736</v>
      </c>
      <c r="G978" t="s">
        <v>1737</v>
      </c>
      <c r="H978" t="str">
        <f>"00496931"</f>
        <v>00496931</v>
      </c>
      <c r="I978">
        <v>828.3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30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Y978">
        <v>0</v>
      </c>
      <c r="Z978">
        <v>858.3</v>
      </c>
    </row>
    <row r="979" spans="1:26" x14ac:dyDescent="0.25">
      <c r="H979" t="s">
        <v>1738</v>
      </c>
    </row>
    <row r="980" spans="1:26" x14ac:dyDescent="0.25">
      <c r="A980">
        <v>487</v>
      </c>
      <c r="C980">
        <v>9405</v>
      </c>
      <c r="D980" t="s">
        <v>860</v>
      </c>
      <c r="E980" t="s">
        <v>1739</v>
      </c>
      <c r="F980" t="s">
        <v>51</v>
      </c>
      <c r="G980" t="s">
        <v>1740</v>
      </c>
      <c r="H980" t="str">
        <f>"00026933"</f>
        <v>00026933</v>
      </c>
      <c r="I980">
        <v>828.3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Y980">
        <v>0</v>
      </c>
      <c r="Z980">
        <v>858.3</v>
      </c>
    </row>
    <row r="981" spans="1:26" x14ac:dyDescent="0.25">
      <c r="H981" t="s">
        <v>1741</v>
      </c>
    </row>
    <row r="982" spans="1:26" x14ac:dyDescent="0.25">
      <c r="A982">
        <v>488</v>
      </c>
      <c r="C982">
        <v>6750</v>
      </c>
      <c r="D982" t="s">
        <v>1742</v>
      </c>
      <c r="E982" t="s">
        <v>194</v>
      </c>
      <c r="F982" t="s">
        <v>148</v>
      </c>
      <c r="G982" t="s">
        <v>1743</v>
      </c>
      <c r="H982" t="str">
        <f>"00672942"</f>
        <v>00672942</v>
      </c>
      <c r="I982">
        <v>828.3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30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Y982">
        <v>0</v>
      </c>
      <c r="Z982">
        <v>858.3</v>
      </c>
    </row>
    <row r="983" spans="1:26" x14ac:dyDescent="0.25">
      <c r="H983" t="s">
        <v>1744</v>
      </c>
    </row>
    <row r="984" spans="1:26" x14ac:dyDescent="0.25">
      <c r="A984">
        <v>489</v>
      </c>
      <c r="C984">
        <v>11484</v>
      </c>
      <c r="D984" t="s">
        <v>1745</v>
      </c>
      <c r="E984" t="s">
        <v>395</v>
      </c>
      <c r="F984" t="s">
        <v>199</v>
      </c>
      <c r="G984" t="s">
        <v>1746</v>
      </c>
      <c r="H984" t="str">
        <f>"00738574"</f>
        <v>00738574</v>
      </c>
      <c r="I984">
        <v>858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Y984">
        <v>2</v>
      </c>
      <c r="Z984">
        <v>858</v>
      </c>
    </row>
    <row r="985" spans="1:26" x14ac:dyDescent="0.25">
      <c r="H985" t="s">
        <v>1747</v>
      </c>
    </row>
    <row r="986" spans="1:26" x14ac:dyDescent="0.25">
      <c r="A986">
        <v>490</v>
      </c>
      <c r="B986" t="s">
        <v>487</v>
      </c>
      <c r="C986">
        <v>3408</v>
      </c>
      <c r="D986" t="s">
        <v>1748</v>
      </c>
      <c r="E986" t="s">
        <v>1407</v>
      </c>
      <c r="F986" t="s">
        <v>39</v>
      </c>
      <c r="G986" t="s">
        <v>1749</v>
      </c>
      <c r="H986" t="str">
        <f>"00494937"</f>
        <v>00494937</v>
      </c>
      <c r="I986">
        <v>858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Y986">
        <v>1</v>
      </c>
      <c r="Z986">
        <v>858</v>
      </c>
    </row>
    <row r="987" spans="1:26" x14ac:dyDescent="0.25">
      <c r="H987" t="s">
        <v>1750</v>
      </c>
    </row>
    <row r="988" spans="1:26" x14ac:dyDescent="0.25">
      <c r="A988">
        <v>491</v>
      </c>
      <c r="B988" t="s">
        <v>71</v>
      </c>
      <c r="C988">
        <v>13437</v>
      </c>
      <c r="D988" t="s">
        <v>1751</v>
      </c>
      <c r="E988" t="s">
        <v>127</v>
      </c>
      <c r="F988" t="s">
        <v>51</v>
      </c>
      <c r="G988" t="s">
        <v>1752</v>
      </c>
      <c r="H988" t="str">
        <f>"201307000077"</f>
        <v>201307000077</v>
      </c>
      <c r="I988">
        <v>858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Y988">
        <v>2</v>
      </c>
      <c r="Z988">
        <v>858</v>
      </c>
    </row>
    <row r="989" spans="1:26" x14ac:dyDescent="0.25">
      <c r="H989" t="s">
        <v>1753</v>
      </c>
    </row>
    <row r="990" spans="1:26" x14ac:dyDescent="0.25">
      <c r="A990">
        <v>492</v>
      </c>
      <c r="C990">
        <v>13964</v>
      </c>
      <c r="D990" t="s">
        <v>1754</v>
      </c>
      <c r="E990" t="s">
        <v>1755</v>
      </c>
      <c r="F990" t="s">
        <v>84</v>
      </c>
      <c r="G990" t="s">
        <v>1756</v>
      </c>
      <c r="H990" t="str">
        <f>"201511030675"</f>
        <v>201511030675</v>
      </c>
      <c r="I990">
        <v>858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Y990">
        <v>0</v>
      </c>
      <c r="Z990">
        <v>858</v>
      </c>
    </row>
    <row r="991" spans="1:26" x14ac:dyDescent="0.25">
      <c r="H991" t="s">
        <v>1757</v>
      </c>
    </row>
    <row r="992" spans="1:26" x14ac:dyDescent="0.25">
      <c r="A992">
        <v>493</v>
      </c>
      <c r="C992">
        <v>5520</v>
      </c>
      <c r="D992" t="s">
        <v>1758</v>
      </c>
      <c r="E992" t="s">
        <v>1759</v>
      </c>
      <c r="F992" t="s">
        <v>138</v>
      </c>
      <c r="G992" t="s">
        <v>1760</v>
      </c>
      <c r="H992" t="str">
        <f>"00228590"</f>
        <v>00228590</v>
      </c>
      <c r="I992">
        <v>858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Y992">
        <v>0</v>
      </c>
      <c r="Z992">
        <v>858</v>
      </c>
    </row>
    <row r="993" spans="1:26" x14ac:dyDescent="0.25">
      <c r="H993" t="s">
        <v>1761</v>
      </c>
    </row>
    <row r="994" spans="1:26" x14ac:dyDescent="0.25">
      <c r="A994">
        <v>494</v>
      </c>
      <c r="C994">
        <v>9910</v>
      </c>
      <c r="D994" t="s">
        <v>1762</v>
      </c>
      <c r="E994" t="s">
        <v>56</v>
      </c>
      <c r="F994" t="s">
        <v>663</v>
      </c>
      <c r="G994" t="s">
        <v>1763</v>
      </c>
      <c r="H994" t="str">
        <f>"201503000573"</f>
        <v>201503000573</v>
      </c>
      <c r="I994">
        <v>807.4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50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Y994">
        <v>0</v>
      </c>
      <c r="Z994">
        <v>857.4</v>
      </c>
    </row>
    <row r="995" spans="1:26" x14ac:dyDescent="0.25">
      <c r="H995" t="s">
        <v>1764</v>
      </c>
    </row>
    <row r="996" spans="1:26" x14ac:dyDescent="0.25">
      <c r="A996">
        <v>495</v>
      </c>
      <c r="C996">
        <v>3057</v>
      </c>
      <c r="D996" t="s">
        <v>1765</v>
      </c>
      <c r="E996" t="s">
        <v>56</v>
      </c>
      <c r="F996" t="s">
        <v>456</v>
      </c>
      <c r="G996" t="s">
        <v>1766</v>
      </c>
      <c r="H996" t="str">
        <f>"201511031746"</f>
        <v>201511031746</v>
      </c>
      <c r="I996">
        <v>827.2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30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Y996">
        <v>0</v>
      </c>
      <c r="Z996">
        <v>857.2</v>
      </c>
    </row>
    <row r="997" spans="1:26" x14ac:dyDescent="0.25">
      <c r="H997" t="s">
        <v>1767</v>
      </c>
    </row>
    <row r="998" spans="1:26" x14ac:dyDescent="0.25">
      <c r="A998">
        <v>496</v>
      </c>
      <c r="C998">
        <v>11359</v>
      </c>
      <c r="D998" t="s">
        <v>221</v>
      </c>
      <c r="E998" t="s">
        <v>112</v>
      </c>
      <c r="F998" t="s">
        <v>829</v>
      </c>
      <c r="G998" t="s">
        <v>1768</v>
      </c>
      <c r="H998" t="str">
        <f>"201511037866"</f>
        <v>201511037866</v>
      </c>
      <c r="I998">
        <v>827.2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30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Y998">
        <v>0</v>
      </c>
      <c r="Z998">
        <v>857.2</v>
      </c>
    </row>
    <row r="999" spans="1:26" x14ac:dyDescent="0.25">
      <c r="H999" t="s">
        <v>1769</v>
      </c>
    </row>
    <row r="1000" spans="1:26" x14ac:dyDescent="0.25">
      <c r="A1000">
        <v>497</v>
      </c>
      <c r="C1000">
        <v>12502</v>
      </c>
      <c r="D1000" t="s">
        <v>754</v>
      </c>
      <c r="E1000" t="s">
        <v>112</v>
      </c>
      <c r="F1000" t="s">
        <v>84</v>
      </c>
      <c r="G1000" t="s">
        <v>1770</v>
      </c>
      <c r="H1000" t="str">
        <f>"201511008286"</f>
        <v>201511008286</v>
      </c>
      <c r="I1000">
        <v>827.2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30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Y1000">
        <v>2</v>
      </c>
      <c r="Z1000">
        <v>857.2</v>
      </c>
    </row>
    <row r="1001" spans="1:26" x14ac:dyDescent="0.25">
      <c r="H1001" t="s">
        <v>1771</v>
      </c>
    </row>
    <row r="1002" spans="1:26" x14ac:dyDescent="0.25">
      <c r="A1002">
        <v>498</v>
      </c>
      <c r="C1002">
        <v>1276</v>
      </c>
      <c r="D1002" t="s">
        <v>1772</v>
      </c>
      <c r="E1002" t="s">
        <v>164</v>
      </c>
      <c r="F1002" t="s">
        <v>84</v>
      </c>
      <c r="G1002" t="s">
        <v>1773</v>
      </c>
      <c r="H1002" t="str">
        <f>"00655479"</f>
        <v>00655479</v>
      </c>
      <c r="I1002">
        <v>856.9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Y1002">
        <v>0</v>
      </c>
      <c r="Z1002">
        <v>856.9</v>
      </c>
    </row>
    <row r="1003" spans="1:26" x14ac:dyDescent="0.25">
      <c r="H1003" t="s">
        <v>1774</v>
      </c>
    </row>
    <row r="1004" spans="1:26" x14ac:dyDescent="0.25">
      <c r="A1004">
        <v>499</v>
      </c>
      <c r="C1004">
        <v>5935</v>
      </c>
      <c r="D1004" t="s">
        <v>1775</v>
      </c>
      <c r="E1004" t="s">
        <v>182</v>
      </c>
      <c r="F1004" t="s">
        <v>590</v>
      </c>
      <c r="G1004" t="s">
        <v>1776</v>
      </c>
      <c r="H1004" t="str">
        <f>"00101954"</f>
        <v>00101954</v>
      </c>
      <c r="I1004">
        <v>856.9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Y1004">
        <v>0</v>
      </c>
      <c r="Z1004">
        <v>856.9</v>
      </c>
    </row>
    <row r="1005" spans="1:26" x14ac:dyDescent="0.25">
      <c r="H1005" t="s">
        <v>1777</v>
      </c>
    </row>
    <row r="1006" spans="1:26" x14ac:dyDescent="0.25">
      <c r="A1006">
        <v>500</v>
      </c>
      <c r="C1006">
        <v>5763</v>
      </c>
      <c r="D1006" t="s">
        <v>1778</v>
      </c>
      <c r="E1006" t="s">
        <v>373</v>
      </c>
      <c r="F1006" t="s">
        <v>597</v>
      </c>
      <c r="G1006" t="s">
        <v>1779</v>
      </c>
      <c r="H1006" t="str">
        <f>"00073977"</f>
        <v>00073977</v>
      </c>
      <c r="I1006">
        <v>756.8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70</v>
      </c>
      <c r="P1006">
        <v>0</v>
      </c>
      <c r="Q1006">
        <v>0</v>
      </c>
      <c r="R1006">
        <v>0</v>
      </c>
      <c r="S1006">
        <v>30</v>
      </c>
      <c r="T1006">
        <v>0</v>
      </c>
      <c r="U1006">
        <v>0</v>
      </c>
      <c r="V1006">
        <v>0</v>
      </c>
      <c r="W1006">
        <v>0</v>
      </c>
      <c r="Y1006">
        <v>0</v>
      </c>
      <c r="Z1006">
        <v>856.8</v>
      </c>
    </row>
    <row r="1007" spans="1:26" x14ac:dyDescent="0.25">
      <c r="H1007" t="s">
        <v>1780</v>
      </c>
    </row>
    <row r="1008" spans="1:26" x14ac:dyDescent="0.25">
      <c r="A1008">
        <v>501</v>
      </c>
      <c r="C1008">
        <v>9183</v>
      </c>
      <c r="D1008" t="s">
        <v>1591</v>
      </c>
      <c r="E1008" t="s">
        <v>1334</v>
      </c>
      <c r="F1008" t="s">
        <v>374</v>
      </c>
      <c r="G1008" t="s">
        <v>1781</v>
      </c>
      <c r="H1008" t="str">
        <f>"00659373"</f>
        <v>00659373</v>
      </c>
      <c r="I1008">
        <v>786.5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70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Y1008">
        <v>0</v>
      </c>
      <c r="Z1008">
        <v>856.5</v>
      </c>
    </row>
    <row r="1009" spans="1:26" x14ac:dyDescent="0.25">
      <c r="H1009" t="s">
        <v>1782</v>
      </c>
    </row>
    <row r="1010" spans="1:26" x14ac:dyDescent="0.25">
      <c r="A1010">
        <v>502</v>
      </c>
      <c r="C1010">
        <v>11784</v>
      </c>
      <c r="D1010" t="s">
        <v>1783</v>
      </c>
      <c r="E1010" t="s">
        <v>1784</v>
      </c>
      <c r="F1010" t="s">
        <v>1785</v>
      </c>
      <c r="G1010" t="s">
        <v>1786</v>
      </c>
      <c r="H1010" t="str">
        <f>"201411002939"</f>
        <v>201411002939</v>
      </c>
      <c r="I1010">
        <v>826.1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30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Y1010">
        <v>0</v>
      </c>
      <c r="Z1010">
        <v>856.1</v>
      </c>
    </row>
    <row r="1011" spans="1:26" x14ac:dyDescent="0.25">
      <c r="H1011" t="s">
        <v>1787</v>
      </c>
    </row>
    <row r="1012" spans="1:26" x14ac:dyDescent="0.25">
      <c r="A1012">
        <v>503</v>
      </c>
      <c r="C1012">
        <v>9725</v>
      </c>
      <c r="D1012" t="s">
        <v>1788</v>
      </c>
      <c r="E1012" t="s">
        <v>127</v>
      </c>
      <c r="F1012" t="s">
        <v>148</v>
      </c>
      <c r="G1012" t="s">
        <v>1789</v>
      </c>
      <c r="H1012" t="str">
        <f>"201511036799"</f>
        <v>201511036799</v>
      </c>
      <c r="I1012">
        <v>826.1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30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Y1012">
        <v>0</v>
      </c>
      <c r="Z1012">
        <v>856.1</v>
      </c>
    </row>
    <row r="1013" spans="1:26" x14ac:dyDescent="0.25">
      <c r="H1013" t="s">
        <v>1790</v>
      </c>
    </row>
    <row r="1014" spans="1:26" x14ac:dyDescent="0.25">
      <c r="A1014">
        <v>504</v>
      </c>
      <c r="C1014">
        <v>10885</v>
      </c>
      <c r="D1014" t="s">
        <v>1791</v>
      </c>
      <c r="E1014" t="s">
        <v>50</v>
      </c>
      <c r="F1014" t="s">
        <v>39</v>
      </c>
      <c r="G1014" t="s">
        <v>1792</v>
      </c>
      <c r="H1014" t="str">
        <f>"201511036175"</f>
        <v>201511036175</v>
      </c>
      <c r="I1014">
        <v>826.1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Y1014">
        <v>0</v>
      </c>
      <c r="Z1014">
        <v>856.1</v>
      </c>
    </row>
    <row r="1015" spans="1:26" x14ac:dyDescent="0.25">
      <c r="H1015" t="s">
        <v>1793</v>
      </c>
    </row>
    <row r="1016" spans="1:26" x14ac:dyDescent="0.25">
      <c r="A1016">
        <v>505</v>
      </c>
      <c r="C1016">
        <v>12881</v>
      </c>
      <c r="D1016" t="s">
        <v>1794</v>
      </c>
      <c r="E1016" t="s">
        <v>90</v>
      </c>
      <c r="F1016" t="s">
        <v>194</v>
      </c>
      <c r="G1016" t="s">
        <v>1795</v>
      </c>
      <c r="H1016" t="str">
        <f>"201511028468"</f>
        <v>201511028468</v>
      </c>
      <c r="I1016">
        <v>826.1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30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Y1016">
        <v>0</v>
      </c>
      <c r="Z1016">
        <v>856.1</v>
      </c>
    </row>
    <row r="1017" spans="1:26" x14ac:dyDescent="0.25">
      <c r="H1017" t="s">
        <v>1796</v>
      </c>
    </row>
    <row r="1018" spans="1:26" x14ac:dyDescent="0.25">
      <c r="A1018">
        <v>506</v>
      </c>
      <c r="C1018">
        <v>2849</v>
      </c>
      <c r="D1018" t="s">
        <v>1084</v>
      </c>
      <c r="E1018" t="s">
        <v>98</v>
      </c>
      <c r="F1018" t="s">
        <v>1797</v>
      </c>
      <c r="G1018" t="s">
        <v>1798</v>
      </c>
      <c r="H1018" t="str">
        <f>"00485920"</f>
        <v>00485920</v>
      </c>
      <c r="I1018">
        <v>855.8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Y1018">
        <v>0</v>
      </c>
      <c r="Z1018">
        <v>855.8</v>
      </c>
    </row>
    <row r="1019" spans="1:26" x14ac:dyDescent="0.25">
      <c r="H1019" t="s">
        <v>1799</v>
      </c>
    </row>
    <row r="1020" spans="1:26" x14ac:dyDescent="0.25">
      <c r="A1020">
        <v>507</v>
      </c>
      <c r="C1020">
        <v>8123</v>
      </c>
      <c r="D1020" t="s">
        <v>1800</v>
      </c>
      <c r="E1020" t="s">
        <v>1801</v>
      </c>
      <c r="F1020" t="s">
        <v>1802</v>
      </c>
      <c r="G1020" t="s">
        <v>1803</v>
      </c>
      <c r="H1020" t="str">
        <f>"00237751"</f>
        <v>00237751</v>
      </c>
      <c r="I1020">
        <v>855.8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Y1020">
        <v>0</v>
      </c>
      <c r="Z1020">
        <v>855.8</v>
      </c>
    </row>
    <row r="1021" spans="1:26" x14ac:dyDescent="0.25">
      <c r="H1021" t="s">
        <v>1804</v>
      </c>
    </row>
    <row r="1022" spans="1:26" x14ac:dyDescent="0.25">
      <c r="A1022">
        <v>508</v>
      </c>
      <c r="C1022">
        <v>3958</v>
      </c>
      <c r="D1022" t="s">
        <v>1805</v>
      </c>
      <c r="E1022" t="s">
        <v>194</v>
      </c>
      <c r="F1022" t="s">
        <v>51</v>
      </c>
      <c r="G1022" t="s">
        <v>1806</v>
      </c>
      <c r="H1022" t="str">
        <f>"201302000122"</f>
        <v>201302000122</v>
      </c>
      <c r="I1022">
        <v>805.2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50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Y1022">
        <v>0</v>
      </c>
      <c r="Z1022">
        <v>855.2</v>
      </c>
    </row>
    <row r="1023" spans="1:26" x14ac:dyDescent="0.25">
      <c r="H1023" t="s">
        <v>1807</v>
      </c>
    </row>
    <row r="1024" spans="1:26" x14ac:dyDescent="0.25">
      <c r="A1024">
        <v>509</v>
      </c>
      <c r="C1024">
        <v>10549</v>
      </c>
      <c r="D1024" t="s">
        <v>1808</v>
      </c>
      <c r="E1024" t="s">
        <v>248</v>
      </c>
      <c r="F1024" t="s">
        <v>1809</v>
      </c>
      <c r="G1024" t="s">
        <v>1810</v>
      </c>
      <c r="H1024" t="str">
        <f>"201401001892"</f>
        <v>201401001892</v>
      </c>
      <c r="I1024">
        <v>825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30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Y1024">
        <v>0</v>
      </c>
      <c r="Z1024">
        <v>855</v>
      </c>
    </row>
    <row r="1025" spans="1:26" x14ac:dyDescent="0.25">
      <c r="H1025" t="s">
        <v>1811</v>
      </c>
    </row>
    <row r="1026" spans="1:26" x14ac:dyDescent="0.25">
      <c r="A1026">
        <v>510</v>
      </c>
      <c r="C1026">
        <v>6262</v>
      </c>
      <c r="D1026" t="s">
        <v>1812</v>
      </c>
      <c r="E1026" t="s">
        <v>248</v>
      </c>
      <c r="F1026" t="s">
        <v>194</v>
      </c>
      <c r="G1026" t="s">
        <v>1813</v>
      </c>
      <c r="H1026" t="str">
        <f>"201511025476"</f>
        <v>201511025476</v>
      </c>
      <c r="I1026">
        <v>794.2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30</v>
      </c>
      <c r="P1026">
        <v>30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Y1026">
        <v>0</v>
      </c>
      <c r="Z1026">
        <v>854.2</v>
      </c>
    </row>
    <row r="1027" spans="1:26" x14ac:dyDescent="0.25">
      <c r="H1027" t="s">
        <v>1814</v>
      </c>
    </row>
    <row r="1028" spans="1:26" x14ac:dyDescent="0.25">
      <c r="A1028">
        <v>511</v>
      </c>
      <c r="C1028">
        <v>14389</v>
      </c>
      <c r="D1028" t="s">
        <v>1815</v>
      </c>
      <c r="E1028" t="s">
        <v>164</v>
      </c>
      <c r="F1028" t="s">
        <v>16</v>
      </c>
      <c r="G1028" t="s">
        <v>1816</v>
      </c>
      <c r="H1028" t="str">
        <f>"00735798"</f>
        <v>00735798</v>
      </c>
      <c r="I1028">
        <v>823.9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30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Y1028">
        <v>0</v>
      </c>
      <c r="Z1028">
        <v>853.9</v>
      </c>
    </row>
    <row r="1029" spans="1:26" x14ac:dyDescent="0.25">
      <c r="H1029" t="s">
        <v>1817</v>
      </c>
    </row>
    <row r="1030" spans="1:26" x14ac:dyDescent="0.25">
      <c r="A1030">
        <v>512</v>
      </c>
      <c r="C1030">
        <v>14822</v>
      </c>
      <c r="D1030" t="s">
        <v>1818</v>
      </c>
      <c r="E1030" t="s">
        <v>248</v>
      </c>
      <c r="F1030" t="s">
        <v>73</v>
      </c>
      <c r="G1030" t="s">
        <v>1819</v>
      </c>
      <c r="H1030" t="str">
        <f>"00029313"</f>
        <v>00029313</v>
      </c>
      <c r="I1030">
        <v>853.6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Y1030">
        <v>2</v>
      </c>
      <c r="Z1030">
        <v>853.6</v>
      </c>
    </row>
    <row r="1031" spans="1:26" x14ac:dyDescent="0.25">
      <c r="H1031" t="s">
        <v>1820</v>
      </c>
    </row>
    <row r="1032" spans="1:26" x14ac:dyDescent="0.25">
      <c r="A1032">
        <v>513</v>
      </c>
      <c r="C1032">
        <v>4146</v>
      </c>
      <c r="D1032" t="s">
        <v>1393</v>
      </c>
      <c r="E1032" t="s">
        <v>94</v>
      </c>
      <c r="F1032" t="s">
        <v>342</v>
      </c>
      <c r="G1032" t="s">
        <v>1821</v>
      </c>
      <c r="H1032" t="str">
        <f>"201401000402"</f>
        <v>201401000402</v>
      </c>
      <c r="I1032">
        <v>853.6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Y1032">
        <v>0</v>
      </c>
      <c r="Z1032">
        <v>853.6</v>
      </c>
    </row>
    <row r="1033" spans="1:26" x14ac:dyDescent="0.25">
      <c r="H1033" t="s">
        <v>1822</v>
      </c>
    </row>
    <row r="1034" spans="1:26" x14ac:dyDescent="0.25">
      <c r="A1034">
        <v>514</v>
      </c>
      <c r="C1034">
        <v>2336</v>
      </c>
      <c r="D1034" t="s">
        <v>1823</v>
      </c>
      <c r="E1034" t="s">
        <v>1824</v>
      </c>
      <c r="F1034" t="s">
        <v>144</v>
      </c>
      <c r="G1034" t="s">
        <v>1825</v>
      </c>
      <c r="H1034" t="str">
        <f>"201511032608"</f>
        <v>201511032608</v>
      </c>
      <c r="I1034">
        <v>803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50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Y1034">
        <v>0</v>
      </c>
      <c r="Z1034">
        <v>853</v>
      </c>
    </row>
    <row r="1035" spans="1:26" x14ac:dyDescent="0.25">
      <c r="H1035" t="s">
        <v>1826</v>
      </c>
    </row>
    <row r="1036" spans="1:26" x14ac:dyDescent="0.25">
      <c r="A1036">
        <v>515</v>
      </c>
      <c r="C1036">
        <v>9338</v>
      </c>
      <c r="D1036" t="s">
        <v>1827</v>
      </c>
      <c r="E1036" t="s">
        <v>112</v>
      </c>
      <c r="F1036" t="s">
        <v>194</v>
      </c>
      <c r="G1036" t="s">
        <v>1828</v>
      </c>
      <c r="H1036" t="str">
        <f>"201511024483"</f>
        <v>201511024483</v>
      </c>
      <c r="I1036">
        <v>822.8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30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Y1036">
        <v>0</v>
      </c>
      <c r="Z1036">
        <v>852.8</v>
      </c>
    </row>
    <row r="1037" spans="1:26" x14ac:dyDescent="0.25">
      <c r="H1037" t="s">
        <v>1829</v>
      </c>
    </row>
    <row r="1038" spans="1:26" x14ac:dyDescent="0.25">
      <c r="A1038">
        <v>516</v>
      </c>
      <c r="C1038">
        <v>12497</v>
      </c>
      <c r="D1038" t="s">
        <v>1830</v>
      </c>
      <c r="E1038" t="s">
        <v>164</v>
      </c>
      <c r="F1038" t="s">
        <v>84</v>
      </c>
      <c r="G1038" t="s">
        <v>1831</v>
      </c>
      <c r="H1038" t="str">
        <f>"00018130"</f>
        <v>00018130</v>
      </c>
      <c r="I1038">
        <v>822.8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30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Y1038">
        <v>0</v>
      </c>
      <c r="Z1038">
        <v>852.8</v>
      </c>
    </row>
    <row r="1039" spans="1:26" x14ac:dyDescent="0.25">
      <c r="H1039" t="s">
        <v>1832</v>
      </c>
    </row>
    <row r="1040" spans="1:26" x14ac:dyDescent="0.25">
      <c r="A1040">
        <v>517</v>
      </c>
      <c r="C1040">
        <v>12003</v>
      </c>
      <c r="D1040" t="s">
        <v>1833</v>
      </c>
      <c r="E1040" t="s">
        <v>138</v>
      </c>
      <c r="F1040" t="s">
        <v>144</v>
      </c>
      <c r="G1040" t="s">
        <v>1834</v>
      </c>
      <c r="H1040" t="str">
        <f>"201011000135"</f>
        <v>201011000135</v>
      </c>
      <c r="I1040">
        <v>852.5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Y1040">
        <v>0</v>
      </c>
      <c r="Z1040">
        <v>852.5</v>
      </c>
    </row>
    <row r="1041" spans="1:26" x14ac:dyDescent="0.25">
      <c r="H1041" t="s">
        <v>1835</v>
      </c>
    </row>
    <row r="1042" spans="1:26" x14ac:dyDescent="0.25">
      <c r="A1042">
        <v>518</v>
      </c>
      <c r="C1042">
        <v>9190</v>
      </c>
      <c r="D1042" t="s">
        <v>1836</v>
      </c>
      <c r="E1042" t="s">
        <v>430</v>
      </c>
      <c r="F1042" t="s">
        <v>1837</v>
      </c>
      <c r="G1042" t="s">
        <v>1838</v>
      </c>
      <c r="H1042" t="str">
        <f>"00491839"</f>
        <v>00491839</v>
      </c>
      <c r="I1042">
        <v>852.5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Y1042">
        <v>0</v>
      </c>
      <c r="Z1042">
        <v>852.5</v>
      </c>
    </row>
    <row r="1043" spans="1:26" x14ac:dyDescent="0.25">
      <c r="H1043" t="s">
        <v>1839</v>
      </c>
    </row>
    <row r="1044" spans="1:26" x14ac:dyDescent="0.25">
      <c r="A1044">
        <v>519</v>
      </c>
      <c r="C1044">
        <v>17308</v>
      </c>
      <c r="D1044" t="s">
        <v>1840</v>
      </c>
      <c r="E1044" t="s">
        <v>1841</v>
      </c>
      <c r="F1044" t="s">
        <v>84</v>
      </c>
      <c r="G1044" t="s">
        <v>1842</v>
      </c>
      <c r="H1044" t="str">
        <f>"201511012702"</f>
        <v>201511012702</v>
      </c>
      <c r="I1044">
        <v>782.1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70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Y1044">
        <v>0</v>
      </c>
      <c r="Z1044">
        <v>852.1</v>
      </c>
    </row>
    <row r="1045" spans="1:26" x14ac:dyDescent="0.25">
      <c r="H1045" t="s">
        <v>1843</v>
      </c>
    </row>
    <row r="1046" spans="1:26" x14ac:dyDescent="0.25">
      <c r="A1046">
        <v>520</v>
      </c>
      <c r="C1046">
        <v>2324</v>
      </c>
      <c r="D1046" t="s">
        <v>1844</v>
      </c>
      <c r="E1046" t="s">
        <v>56</v>
      </c>
      <c r="F1046" t="s">
        <v>84</v>
      </c>
      <c r="G1046" t="s">
        <v>1845</v>
      </c>
      <c r="H1046" t="str">
        <f>"201511037403"</f>
        <v>201511037403</v>
      </c>
      <c r="I1046">
        <v>821.7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30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Y1046">
        <v>0</v>
      </c>
      <c r="Z1046">
        <v>851.7</v>
      </c>
    </row>
    <row r="1047" spans="1:26" x14ac:dyDescent="0.25">
      <c r="H1047" t="s">
        <v>1846</v>
      </c>
    </row>
    <row r="1048" spans="1:26" x14ac:dyDescent="0.25">
      <c r="A1048">
        <v>521</v>
      </c>
      <c r="C1048">
        <v>5888</v>
      </c>
      <c r="D1048" t="s">
        <v>1847</v>
      </c>
      <c r="E1048" t="s">
        <v>112</v>
      </c>
      <c r="F1048" t="s">
        <v>138</v>
      </c>
      <c r="G1048" t="s">
        <v>1848</v>
      </c>
      <c r="H1048" t="str">
        <f>"00729270"</f>
        <v>00729270</v>
      </c>
      <c r="I1048">
        <v>821.7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30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Y1048">
        <v>2</v>
      </c>
      <c r="Z1048">
        <v>851.7</v>
      </c>
    </row>
    <row r="1049" spans="1:26" x14ac:dyDescent="0.25">
      <c r="H1049" t="s">
        <v>1849</v>
      </c>
    </row>
    <row r="1050" spans="1:26" x14ac:dyDescent="0.25">
      <c r="A1050">
        <v>522</v>
      </c>
      <c r="B1050" t="s">
        <v>48</v>
      </c>
      <c r="C1050">
        <v>8811</v>
      </c>
      <c r="D1050" t="s">
        <v>1850</v>
      </c>
      <c r="E1050" t="s">
        <v>1851</v>
      </c>
      <c r="F1050" t="s">
        <v>39</v>
      </c>
      <c r="G1050" t="s">
        <v>1852</v>
      </c>
      <c r="H1050" t="str">
        <f>"00741494"</f>
        <v>00741494</v>
      </c>
      <c r="I1050">
        <v>851.4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Y1050">
        <v>2</v>
      </c>
      <c r="Z1050">
        <v>851.4</v>
      </c>
    </row>
    <row r="1051" spans="1:26" x14ac:dyDescent="0.25">
      <c r="H1051" t="s">
        <v>1853</v>
      </c>
    </row>
    <row r="1052" spans="1:26" x14ac:dyDescent="0.25">
      <c r="A1052">
        <v>523</v>
      </c>
      <c r="C1052">
        <v>3279</v>
      </c>
      <c r="D1052" t="s">
        <v>1854</v>
      </c>
      <c r="E1052" t="s">
        <v>164</v>
      </c>
      <c r="F1052" t="s">
        <v>16</v>
      </c>
      <c r="G1052" t="s">
        <v>1855</v>
      </c>
      <c r="H1052" t="str">
        <f>"201511009373"</f>
        <v>201511009373</v>
      </c>
      <c r="I1052">
        <v>851.4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Y1052">
        <v>0</v>
      </c>
      <c r="Z1052">
        <v>851.4</v>
      </c>
    </row>
    <row r="1053" spans="1:26" x14ac:dyDescent="0.25">
      <c r="H1053" t="s">
        <v>1856</v>
      </c>
    </row>
    <row r="1054" spans="1:26" x14ac:dyDescent="0.25">
      <c r="A1054">
        <v>524</v>
      </c>
      <c r="C1054">
        <v>10377</v>
      </c>
      <c r="D1054" t="s">
        <v>1857</v>
      </c>
      <c r="E1054" t="s">
        <v>248</v>
      </c>
      <c r="F1054" t="s">
        <v>51</v>
      </c>
      <c r="G1054" t="s">
        <v>1858</v>
      </c>
      <c r="H1054" t="str">
        <f>"201511042028"</f>
        <v>201511042028</v>
      </c>
      <c r="I1054">
        <v>851.4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Y1054">
        <v>0</v>
      </c>
      <c r="Z1054">
        <v>851.4</v>
      </c>
    </row>
    <row r="1055" spans="1:26" x14ac:dyDescent="0.25">
      <c r="H1055" t="s">
        <v>1859</v>
      </c>
    </row>
    <row r="1056" spans="1:26" x14ac:dyDescent="0.25">
      <c r="A1056">
        <v>525</v>
      </c>
      <c r="C1056">
        <v>13202</v>
      </c>
      <c r="D1056" t="s">
        <v>1860</v>
      </c>
      <c r="E1056" t="s">
        <v>50</v>
      </c>
      <c r="F1056" t="s">
        <v>318</v>
      </c>
      <c r="G1056" t="s">
        <v>1861</v>
      </c>
      <c r="H1056" t="str">
        <f>"201511007312"</f>
        <v>201511007312</v>
      </c>
      <c r="I1056">
        <v>851.4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Y1056">
        <v>0</v>
      </c>
      <c r="Z1056">
        <v>851.4</v>
      </c>
    </row>
    <row r="1057" spans="1:26" x14ac:dyDescent="0.25">
      <c r="H1057" t="s">
        <v>1862</v>
      </c>
    </row>
    <row r="1058" spans="1:26" x14ac:dyDescent="0.25">
      <c r="A1058">
        <v>526</v>
      </c>
      <c r="C1058">
        <v>15283</v>
      </c>
      <c r="D1058" t="s">
        <v>1863</v>
      </c>
      <c r="E1058" t="s">
        <v>730</v>
      </c>
      <c r="F1058" t="s">
        <v>122</v>
      </c>
      <c r="G1058" t="s">
        <v>1864</v>
      </c>
      <c r="H1058" t="str">
        <f>"201511028315"</f>
        <v>201511028315</v>
      </c>
      <c r="I1058">
        <v>851.4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Y1058">
        <v>0</v>
      </c>
      <c r="Z1058">
        <v>851.4</v>
      </c>
    </row>
    <row r="1059" spans="1:26" x14ac:dyDescent="0.25">
      <c r="H1059" t="s">
        <v>1865</v>
      </c>
    </row>
    <row r="1060" spans="1:26" x14ac:dyDescent="0.25">
      <c r="A1060">
        <v>527</v>
      </c>
      <c r="B1060" t="s">
        <v>377</v>
      </c>
      <c r="C1060">
        <v>6726</v>
      </c>
      <c r="D1060" t="s">
        <v>491</v>
      </c>
      <c r="E1060" t="s">
        <v>127</v>
      </c>
      <c r="F1060" t="s">
        <v>204</v>
      </c>
      <c r="G1060" t="s">
        <v>1866</v>
      </c>
      <c r="H1060" t="str">
        <f>"201510004399"</f>
        <v>201510004399</v>
      </c>
      <c r="I1060">
        <v>851.4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Y1060">
        <v>1</v>
      </c>
      <c r="Z1060">
        <v>851.4</v>
      </c>
    </row>
    <row r="1061" spans="1:26" x14ac:dyDescent="0.25">
      <c r="H1061" t="s">
        <v>1867</v>
      </c>
    </row>
    <row r="1062" spans="1:26" x14ac:dyDescent="0.25">
      <c r="A1062">
        <v>528</v>
      </c>
      <c r="C1062">
        <v>1735</v>
      </c>
      <c r="D1062" t="s">
        <v>1868</v>
      </c>
      <c r="E1062" t="s">
        <v>112</v>
      </c>
      <c r="F1062" t="s">
        <v>39</v>
      </c>
      <c r="G1062" t="s">
        <v>1869</v>
      </c>
      <c r="H1062" t="str">
        <f>"00076200"</f>
        <v>00076200</v>
      </c>
      <c r="I1062">
        <v>781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70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Y1062">
        <v>0</v>
      </c>
      <c r="Z1062">
        <v>851</v>
      </c>
    </row>
    <row r="1063" spans="1:26" x14ac:dyDescent="0.25">
      <c r="H1063" t="s">
        <v>1870</v>
      </c>
    </row>
    <row r="1064" spans="1:26" x14ac:dyDescent="0.25">
      <c r="A1064">
        <v>529</v>
      </c>
      <c r="C1064">
        <v>15346</v>
      </c>
      <c r="D1064" t="s">
        <v>1871</v>
      </c>
      <c r="E1064" t="s">
        <v>144</v>
      </c>
      <c r="F1064" t="s">
        <v>39</v>
      </c>
      <c r="G1064" t="s">
        <v>1872</v>
      </c>
      <c r="H1064" t="str">
        <f>"00022106"</f>
        <v>00022106</v>
      </c>
      <c r="I1064">
        <v>790.9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30</v>
      </c>
      <c r="P1064">
        <v>30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Y1064">
        <v>0</v>
      </c>
      <c r="Z1064">
        <v>850.9</v>
      </c>
    </row>
    <row r="1065" spans="1:26" x14ac:dyDescent="0.25">
      <c r="H1065" t="s">
        <v>1873</v>
      </c>
    </row>
    <row r="1066" spans="1:26" x14ac:dyDescent="0.25">
      <c r="A1066">
        <v>530</v>
      </c>
      <c r="C1066">
        <v>1308</v>
      </c>
      <c r="D1066" t="s">
        <v>1874</v>
      </c>
      <c r="E1066" t="s">
        <v>50</v>
      </c>
      <c r="F1066" t="s">
        <v>540</v>
      </c>
      <c r="G1066" t="s">
        <v>1875</v>
      </c>
      <c r="H1066" t="str">
        <f>"201510003384"</f>
        <v>201510003384</v>
      </c>
      <c r="I1066">
        <v>820.6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30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Y1066">
        <v>0</v>
      </c>
      <c r="Z1066">
        <v>850.6</v>
      </c>
    </row>
    <row r="1067" spans="1:26" x14ac:dyDescent="0.25">
      <c r="H1067" t="s">
        <v>1876</v>
      </c>
    </row>
    <row r="1068" spans="1:26" x14ac:dyDescent="0.25">
      <c r="A1068">
        <v>531</v>
      </c>
      <c r="C1068">
        <v>2864</v>
      </c>
      <c r="D1068" t="s">
        <v>1877</v>
      </c>
      <c r="E1068" t="s">
        <v>248</v>
      </c>
      <c r="F1068" t="s">
        <v>346</v>
      </c>
      <c r="G1068" t="s">
        <v>1878</v>
      </c>
      <c r="H1068" t="str">
        <f>"201511031252"</f>
        <v>201511031252</v>
      </c>
      <c r="I1068">
        <v>820.6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30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Y1068">
        <v>0</v>
      </c>
      <c r="Z1068">
        <v>850.6</v>
      </c>
    </row>
    <row r="1069" spans="1:26" x14ac:dyDescent="0.25">
      <c r="H1069" t="s">
        <v>1879</v>
      </c>
    </row>
    <row r="1070" spans="1:26" x14ac:dyDescent="0.25">
      <c r="A1070">
        <v>532</v>
      </c>
      <c r="C1070">
        <v>1743</v>
      </c>
      <c r="D1070" t="s">
        <v>1880</v>
      </c>
      <c r="E1070" t="s">
        <v>821</v>
      </c>
      <c r="F1070" t="s">
        <v>298</v>
      </c>
      <c r="G1070" t="s">
        <v>1881</v>
      </c>
      <c r="H1070" t="str">
        <f>"00020924"</f>
        <v>00020924</v>
      </c>
      <c r="I1070">
        <v>820.6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30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Y1070">
        <v>0</v>
      </c>
      <c r="Z1070">
        <v>850.6</v>
      </c>
    </row>
    <row r="1071" spans="1:26" x14ac:dyDescent="0.25">
      <c r="H1071" t="s">
        <v>1882</v>
      </c>
    </row>
    <row r="1072" spans="1:26" x14ac:dyDescent="0.25">
      <c r="A1072">
        <v>533</v>
      </c>
      <c r="C1072">
        <v>4218</v>
      </c>
      <c r="D1072" t="s">
        <v>1883</v>
      </c>
      <c r="E1072" t="s">
        <v>338</v>
      </c>
      <c r="F1072" t="s">
        <v>334</v>
      </c>
      <c r="G1072" t="s">
        <v>1884</v>
      </c>
      <c r="H1072" t="str">
        <f>"201511033040"</f>
        <v>201511033040</v>
      </c>
      <c r="I1072">
        <v>850.3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Y1072">
        <v>0</v>
      </c>
      <c r="Z1072">
        <v>850.3</v>
      </c>
    </row>
    <row r="1073" spans="1:26" x14ac:dyDescent="0.25">
      <c r="H1073" t="s">
        <v>1885</v>
      </c>
    </row>
    <row r="1074" spans="1:26" x14ac:dyDescent="0.25">
      <c r="A1074">
        <v>534</v>
      </c>
      <c r="C1074">
        <v>5543</v>
      </c>
      <c r="D1074" t="s">
        <v>1886</v>
      </c>
      <c r="E1074" t="s">
        <v>1887</v>
      </c>
      <c r="F1074" t="s">
        <v>1888</v>
      </c>
      <c r="G1074" t="s">
        <v>1889</v>
      </c>
      <c r="H1074" t="str">
        <f>"00016410"</f>
        <v>00016410</v>
      </c>
      <c r="I1074">
        <v>850.3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Y1074">
        <v>0</v>
      </c>
      <c r="Z1074">
        <v>850.3</v>
      </c>
    </row>
    <row r="1075" spans="1:26" x14ac:dyDescent="0.25">
      <c r="H1075" t="s">
        <v>1890</v>
      </c>
    </row>
    <row r="1076" spans="1:26" x14ac:dyDescent="0.25">
      <c r="A1076">
        <v>535</v>
      </c>
      <c r="C1076">
        <v>11661</v>
      </c>
      <c r="D1076" t="s">
        <v>1891</v>
      </c>
      <c r="E1076" t="s">
        <v>365</v>
      </c>
      <c r="F1076" t="s">
        <v>39</v>
      </c>
      <c r="G1076" t="s">
        <v>1892</v>
      </c>
      <c r="H1076" t="str">
        <f>"00031774"</f>
        <v>00031774</v>
      </c>
      <c r="I1076">
        <v>799.7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50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Y1076">
        <v>0</v>
      </c>
      <c r="Z1076">
        <v>849.7</v>
      </c>
    </row>
    <row r="1077" spans="1:26" x14ac:dyDescent="0.25">
      <c r="H1077" t="s">
        <v>1893</v>
      </c>
    </row>
    <row r="1078" spans="1:26" x14ac:dyDescent="0.25">
      <c r="A1078">
        <v>536</v>
      </c>
      <c r="C1078">
        <v>17276</v>
      </c>
      <c r="D1078" t="s">
        <v>1262</v>
      </c>
      <c r="E1078" t="s">
        <v>289</v>
      </c>
      <c r="F1078" t="s">
        <v>1894</v>
      </c>
      <c r="G1078">
        <v>919639</v>
      </c>
      <c r="H1078" t="str">
        <f>"00453075"</f>
        <v>00453075</v>
      </c>
      <c r="I1078">
        <v>799.7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50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Y1078">
        <v>0</v>
      </c>
      <c r="Z1078">
        <v>849.7</v>
      </c>
    </row>
    <row r="1079" spans="1:26" x14ac:dyDescent="0.25">
      <c r="H1079" t="s">
        <v>1895</v>
      </c>
    </row>
    <row r="1080" spans="1:26" x14ac:dyDescent="0.25">
      <c r="A1080">
        <v>537</v>
      </c>
      <c r="C1080">
        <v>5358</v>
      </c>
      <c r="D1080" t="s">
        <v>1896</v>
      </c>
      <c r="E1080" t="s">
        <v>56</v>
      </c>
      <c r="F1080" t="s">
        <v>78</v>
      </c>
      <c r="G1080" t="s">
        <v>1897</v>
      </c>
      <c r="H1080" t="str">
        <f>"00731174"</f>
        <v>00731174</v>
      </c>
      <c r="I1080">
        <v>819.5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30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Y1080">
        <v>0</v>
      </c>
      <c r="Z1080">
        <v>849.5</v>
      </c>
    </row>
    <row r="1081" spans="1:26" x14ac:dyDescent="0.25">
      <c r="H1081" t="s">
        <v>1898</v>
      </c>
    </row>
    <row r="1082" spans="1:26" x14ac:dyDescent="0.25">
      <c r="A1082">
        <v>538</v>
      </c>
      <c r="C1082">
        <v>2974</v>
      </c>
      <c r="D1082" t="s">
        <v>1899</v>
      </c>
      <c r="E1082" t="s">
        <v>39</v>
      </c>
      <c r="F1082" t="s">
        <v>1900</v>
      </c>
      <c r="G1082" t="s">
        <v>1901</v>
      </c>
      <c r="H1082" t="str">
        <f>"201511007485"</f>
        <v>201511007485</v>
      </c>
      <c r="I1082">
        <v>778.8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70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Y1082">
        <v>0</v>
      </c>
      <c r="Z1082">
        <v>848.8</v>
      </c>
    </row>
    <row r="1083" spans="1:26" x14ac:dyDescent="0.25">
      <c r="H1083" t="s">
        <v>1902</v>
      </c>
    </row>
    <row r="1084" spans="1:26" x14ac:dyDescent="0.25">
      <c r="A1084">
        <v>539</v>
      </c>
      <c r="B1084" t="s">
        <v>1903</v>
      </c>
      <c r="C1084">
        <v>12653</v>
      </c>
      <c r="D1084" t="s">
        <v>1904</v>
      </c>
      <c r="E1084" t="s">
        <v>365</v>
      </c>
      <c r="F1084" t="s">
        <v>90</v>
      </c>
      <c r="G1084" t="s">
        <v>1905</v>
      </c>
      <c r="H1084" t="str">
        <f>"201103000018"</f>
        <v>201103000018</v>
      </c>
      <c r="I1084">
        <v>818.4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30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Y1084">
        <v>2</v>
      </c>
      <c r="Z1084">
        <v>848.4</v>
      </c>
    </row>
    <row r="1085" spans="1:26" x14ac:dyDescent="0.25">
      <c r="H1085" t="s">
        <v>1906</v>
      </c>
    </row>
    <row r="1086" spans="1:26" x14ac:dyDescent="0.25">
      <c r="A1086">
        <v>540</v>
      </c>
      <c r="C1086">
        <v>1362</v>
      </c>
      <c r="D1086" t="s">
        <v>1907</v>
      </c>
      <c r="E1086" t="s">
        <v>422</v>
      </c>
      <c r="F1086" t="s">
        <v>16</v>
      </c>
      <c r="G1086" t="s">
        <v>1908</v>
      </c>
      <c r="H1086" t="str">
        <f>"201511021555"</f>
        <v>201511021555</v>
      </c>
      <c r="I1086">
        <v>818.4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30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Y1086">
        <v>0</v>
      </c>
      <c r="Z1086">
        <v>848.4</v>
      </c>
    </row>
    <row r="1087" spans="1:26" x14ac:dyDescent="0.25">
      <c r="H1087" t="s">
        <v>1909</v>
      </c>
    </row>
    <row r="1088" spans="1:26" x14ac:dyDescent="0.25">
      <c r="A1088">
        <v>541</v>
      </c>
      <c r="C1088">
        <v>3113</v>
      </c>
      <c r="D1088" t="s">
        <v>1910</v>
      </c>
      <c r="E1088" t="s">
        <v>327</v>
      </c>
      <c r="F1088" t="s">
        <v>346</v>
      </c>
      <c r="G1088" t="s">
        <v>1911</v>
      </c>
      <c r="H1088" t="str">
        <f>"201511005335"</f>
        <v>201511005335</v>
      </c>
      <c r="I1088">
        <v>818.4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30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Y1088">
        <v>0</v>
      </c>
      <c r="Z1088">
        <v>848.4</v>
      </c>
    </row>
    <row r="1089" spans="1:26" x14ac:dyDescent="0.25">
      <c r="H1089" t="s">
        <v>1912</v>
      </c>
    </row>
    <row r="1090" spans="1:26" x14ac:dyDescent="0.25">
      <c r="A1090">
        <v>542</v>
      </c>
      <c r="C1090">
        <v>9557</v>
      </c>
      <c r="D1090" t="s">
        <v>1913</v>
      </c>
      <c r="E1090" t="s">
        <v>56</v>
      </c>
      <c r="F1090" t="s">
        <v>73</v>
      </c>
      <c r="G1090" t="s">
        <v>1914</v>
      </c>
      <c r="H1090" t="str">
        <f>"201511007875"</f>
        <v>201511007875</v>
      </c>
      <c r="I1090">
        <v>818.4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30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Y1090">
        <v>0</v>
      </c>
      <c r="Z1090">
        <v>848.4</v>
      </c>
    </row>
    <row r="1091" spans="1:26" x14ac:dyDescent="0.25">
      <c r="H1091" t="s">
        <v>1915</v>
      </c>
    </row>
    <row r="1092" spans="1:26" x14ac:dyDescent="0.25">
      <c r="A1092">
        <v>543</v>
      </c>
      <c r="C1092">
        <v>11436</v>
      </c>
      <c r="D1092" t="s">
        <v>1916</v>
      </c>
      <c r="E1092" t="s">
        <v>1917</v>
      </c>
      <c r="F1092" t="s">
        <v>39</v>
      </c>
      <c r="G1092" t="s">
        <v>1918</v>
      </c>
      <c r="H1092" t="str">
        <f>"201511038992"</f>
        <v>201511038992</v>
      </c>
      <c r="I1092">
        <v>818.4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30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Y1092">
        <v>0</v>
      </c>
      <c r="Z1092">
        <v>848.4</v>
      </c>
    </row>
    <row r="1093" spans="1:26" x14ac:dyDescent="0.25">
      <c r="H1093" t="s">
        <v>1919</v>
      </c>
    </row>
    <row r="1094" spans="1:26" x14ac:dyDescent="0.25">
      <c r="A1094">
        <v>544</v>
      </c>
      <c r="C1094">
        <v>16714</v>
      </c>
      <c r="D1094" t="s">
        <v>1920</v>
      </c>
      <c r="E1094" t="s">
        <v>1588</v>
      </c>
      <c r="F1094" t="s">
        <v>240</v>
      </c>
      <c r="G1094" t="s">
        <v>1921</v>
      </c>
      <c r="H1094" t="str">
        <f>"00509239"</f>
        <v>00509239</v>
      </c>
      <c r="I1094">
        <v>818.4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30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Y1094">
        <v>0</v>
      </c>
      <c r="Z1094">
        <v>848.4</v>
      </c>
    </row>
    <row r="1095" spans="1:26" x14ac:dyDescent="0.25">
      <c r="H1095" t="s">
        <v>1922</v>
      </c>
    </row>
    <row r="1096" spans="1:26" x14ac:dyDescent="0.25">
      <c r="A1096">
        <v>545</v>
      </c>
      <c r="C1096">
        <v>10646</v>
      </c>
      <c r="D1096" t="s">
        <v>1923</v>
      </c>
      <c r="E1096" t="s">
        <v>415</v>
      </c>
      <c r="F1096" t="s">
        <v>1677</v>
      </c>
      <c r="G1096" t="s">
        <v>1924</v>
      </c>
      <c r="H1096" t="str">
        <f>"201511042141"</f>
        <v>201511042141</v>
      </c>
      <c r="I1096">
        <v>848.1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Y1096">
        <v>0</v>
      </c>
      <c r="Z1096">
        <v>848.1</v>
      </c>
    </row>
    <row r="1097" spans="1:26" x14ac:dyDescent="0.25">
      <c r="H1097" t="s">
        <v>1925</v>
      </c>
    </row>
    <row r="1098" spans="1:26" x14ac:dyDescent="0.25">
      <c r="A1098">
        <v>546</v>
      </c>
      <c r="C1098">
        <v>13253</v>
      </c>
      <c r="D1098" t="s">
        <v>1926</v>
      </c>
      <c r="E1098" t="s">
        <v>89</v>
      </c>
      <c r="F1098" t="s">
        <v>39</v>
      </c>
      <c r="G1098" t="s">
        <v>1927</v>
      </c>
      <c r="H1098" t="str">
        <f>"201511032329"</f>
        <v>201511032329</v>
      </c>
      <c r="I1098">
        <v>848.1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Y1098">
        <v>0</v>
      </c>
      <c r="Z1098">
        <v>848.1</v>
      </c>
    </row>
    <row r="1099" spans="1:26" x14ac:dyDescent="0.25">
      <c r="H1099" t="s">
        <v>1928</v>
      </c>
    </row>
    <row r="1100" spans="1:26" x14ac:dyDescent="0.25">
      <c r="A1100">
        <v>547</v>
      </c>
      <c r="C1100">
        <v>7334</v>
      </c>
      <c r="D1100" t="s">
        <v>1929</v>
      </c>
      <c r="E1100" t="s">
        <v>1930</v>
      </c>
      <c r="F1100" t="s">
        <v>127</v>
      </c>
      <c r="G1100" t="s">
        <v>1931</v>
      </c>
      <c r="H1100" t="str">
        <f>"00679090"</f>
        <v>00679090</v>
      </c>
      <c r="I1100">
        <v>817.3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30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Y1100">
        <v>0</v>
      </c>
      <c r="Z1100">
        <v>847.3</v>
      </c>
    </row>
    <row r="1101" spans="1:26" x14ac:dyDescent="0.25">
      <c r="H1101" t="s">
        <v>1932</v>
      </c>
    </row>
    <row r="1102" spans="1:26" x14ac:dyDescent="0.25">
      <c r="A1102">
        <v>548</v>
      </c>
      <c r="C1102">
        <v>11690</v>
      </c>
      <c r="D1102" t="s">
        <v>939</v>
      </c>
      <c r="E1102" t="s">
        <v>1851</v>
      </c>
      <c r="F1102" t="s">
        <v>342</v>
      </c>
      <c r="G1102" t="s">
        <v>1933</v>
      </c>
      <c r="H1102" t="str">
        <f>"00464263"</f>
        <v>00464263</v>
      </c>
      <c r="I1102">
        <v>817.3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30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Y1102">
        <v>0</v>
      </c>
      <c r="Z1102">
        <v>847.3</v>
      </c>
    </row>
    <row r="1103" spans="1:26" x14ac:dyDescent="0.25">
      <c r="H1103" t="s">
        <v>1934</v>
      </c>
    </row>
    <row r="1104" spans="1:26" x14ac:dyDescent="0.25">
      <c r="A1104">
        <v>549</v>
      </c>
      <c r="C1104">
        <v>13158</v>
      </c>
      <c r="D1104" t="s">
        <v>1935</v>
      </c>
      <c r="E1104" t="s">
        <v>1936</v>
      </c>
      <c r="F1104" t="s">
        <v>144</v>
      </c>
      <c r="G1104" t="s">
        <v>1937</v>
      </c>
      <c r="H1104" t="str">
        <f>"00494360"</f>
        <v>00494360</v>
      </c>
      <c r="I1104">
        <v>847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Y1104">
        <v>0</v>
      </c>
      <c r="Z1104">
        <v>847</v>
      </c>
    </row>
    <row r="1105" spans="1:26" x14ac:dyDescent="0.25">
      <c r="H1105" t="s">
        <v>1938</v>
      </c>
    </row>
    <row r="1106" spans="1:26" x14ac:dyDescent="0.25">
      <c r="A1106">
        <v>550</v>
      </c>
      <c r="C1106">
        <v>202</v>
      </c>
      <c r="D1106" t="s">
        <v>1939</v>
      </c>
      <c r="E1106" t="s">
        <v>1940</v>
      </c>
      <c r="F1106" t="s">
        <v>597</v>
      </c>
      <c r="G1106" t="s">
        <v>1941</v>
      </c>
      <c r="H1106" t="str">
        <f>"201511007531"</f>
        <v>201511007531</v>
      </c>
      <c r="I1106">
        <v>847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Y1106">
        <v>0</v>
      </c>
      <c r="Z1106">
        <v>847</v>
      </c>
    </row>
    <row r="1107" spans="1:26" x14ac:dyDescent="0.25">
      <c r="H1107" t="s">
        <v>1942</v>
      </c>
    </row>
    <row r="1108" spans="1:26" x14ac:dyDescent="0.25">
      <c r="A1108">
        <v>551</v>
      </c>
      <c r="C1108">
        <v>12364</v>
      </c>
      <c r="D1108" t="s">
        <v>1167</v>
      </c>
      <c r="E1108" t="s">
        <v>1943</v>
      </c>
      <c r="F1108" t="s">
        <v>194</v>
      </c>
      <c r="G1108" t="s">
        <v>1944</v>
      </c>
      <c r="H1108" t="str">
        <f>"00740783"</f>
        <v>00740783</v>
      </c>
      <c r="I1108">
        <v>816.2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30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Y1108">
        <v>0</v>
      </c>
      <c r="Z1108">
        <v>846.2</v>
      </c>
    </row>
    <row r="1109" spans="1:26" x14ac:dyDescent="0.25">
      <c r="H1109" t="s">
        <v>1945</v>
      </c>
    </row>
    <row r="1110" spans="1:26" x14ac:dyDescent="0.25">
      <c r="A1110">
        <v>552</v>
      </c>
      <c r="C1110">
        <v>13453</v>
      </c>
      <c r="D1110" t="s">
        <v>1946</v>
      </c>
      <c r="E1110" t="s">
        <v>1947</v>
      </c>
      <c r="F1110" t="s">
        <v>204</v>
      </c>
      <c r="G1110" t="s">
        <v>1948</v>
      </c>
      <c r="H1110" t="str">
        <f>"00540941"</f>
        <v>00540941</v>
      </c>
      <c r="I1110">
        <v>816.2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30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Y1110">
        <v>0</v>
      </c>
      <c r="Z1110">
        <v>846.2</v>
      </c>
    </row>
    <row r="1111" spans="1:26" x14ac:dyDescent="0.25">
      <c r="H1111" t="s">
        <v>1949</v>
      </c>
    </row>
    <row r="1112" spans="1:26" x14ac:dyDescent="0.25">
      <c r="A1112">
        <v>553</v>
      </c>
      <c r="C1112">
        <v>7371</v>
      </c>
      <c r="D1112" t="s">
        <v>1950</v>
      </c>
      <c r="E1112" t="s">
        <v>264</v>
      </c>
      <c r="F1112" t="s">
        <v>16</v>
      </c>
      <c r="G1112" t="s">
        <v>1951</v>
      </c>
      <c r="H1112" t="str">
        <f>"201511022256"</f>
        <v>201511022256</v>
      </c>
      <c r="I1112">
        <v>845.9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Y1112">
        <v>0</v>
      </c>
      <c r="Z1112">
        <v>845.9</v>
      </c>
    </row>
    <row r="1113" spans="1:26" x14ac:dyDescent="0.25">
      <c r="H1113" t="s">
        <v>1952</v>
      </c>
    </row>
    <row r="1114" spans="1:26" x14ac:dyDescent="0.25">
      <c r="A1114">
        <v>554</v>
      </c>
      <c r="C1114">
        <v>15706</v>
      </c>
      <c r="D1114" t="s">
        <v>1953</v>
      </c>
      <c r="E1114" t="s">
        <v>1954</v>
      </c>
      <c r="F1114" t="s">
        <v>39</v>
      </c>
      <c r="G1114" t="s">
        <v>1955</v>
      </c>
      <c r="H1114" t="str">
        <f>"201511038039"</f>
        <v>201511038039</v>
      </c>
      <c r="I1114">
        <v>845.9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Y1114">
        <v>0</v>
      </c>
      <c r="Z1114">
        <v>845.9</v>
      </c>
    </row>
    <row r="1115" spans="1:26" x14ac:dyDescent="0.25">
      <c r="H1115" t="s">
        <v>1956</v>
      </c>
    </row>
    <row r="1116" spans="1:26" x14ac:dyDescent="0.25">
      <c r="A1116">
        <v>555</v>
      </c>
      <c r="C1116">
        <v>13321</v>
      </c>
      <c r="D1116" t="s">
        <v>1957</v>
      </c>
      <c r="E1116" t="s">
        <v>182</v>
      </c>
      <c r="F1116" t="s">
        <v>73</v>
      </c>
      <c r="G1116" t="s">
        <v>1958</v>
      </c>
      <c r="H1116" t="str">
        <f>"201511013623"</f>
        <v>201511013623</v>
      </c>
      <c r="I1116">
        <v>775.5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70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Y1116">
        <v>0</v>
      </c>
      <c r="Z1116">
        <v>845.5</v>
      </c>
    </row>
    <row r="1117" spans="1:26" x14ac:dyDescent="0.25">
      <c r="H1117" t="s">
        <v>1959</v>
      </c>
    </row>
    <row r="1118" spans="1:26" x14ac:dyDescent="0.25">
      <c r="A1118">
        <v>556</v>
      </c>
      <c r="C1118">
        <v>7491</v>
      </c>
      <c r="D1118" t="s">
        <v>1960</v>
      </c>
      <c r="E1118" t="s">
        <v>182</v>
      </c>
      <c r="F1118" t="s">
        <v>73</v>
      </c>
      <c r="G1118" t="s">
        <v>1961</v>
      </c>
      <c r="H1118" t="str">
        <f>"201511033135"</f>
        <v>201511033135</v>
      </c>
      <c r="I1118">
        <v>795.3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50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Y1118">
        <v>0</v>
      </c>
      <c r="Z1118">
        <v>845.3</v>
      </c>
    </row>
    <row r="1119" spans="1:26" x14ac:dyDescent="0.25">
      <c r="H1119" t="s">
        <v>1962</v>
      </c>
    </row>
    <row r="1120" spans="1:26" x14ac:dyDescent="0.25">
      <c r="A1120">
        <v>557</v>
      </c>
      <c r="C1120">
        <v>15185</v>
      </c>
      <c r="D1120" t="s">
        <v>1963</v>
      </c>
      <c r="E1120" t="s">
        <v>67</v>
      </c>
      <c r="F1120" t="s">
        <v>808</v>
      </c>
      <c r="G1120" t="s">
        <v>1964</v>
      </c>
      <c r="H1120" t="str">
        <f>"201511035091"</f>
        <v>201511035091</v>
      </c>
      <c r="I1120">
        <v>815.1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30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Y1120">
        <v>0</v>
      </c>
      <c r="Z1120">
        <v>845.1</v>
      </c>
    </row>
    <row r="1121" spans="1:26" x14ac:dyDescent="0.25">
      <c r="H1121" t="s">
        <v>1965</v>
      </c>
    </row>
    <row r="1122" spans="1:26" x14ac:dyDescent="0.25">
      <c r="A1122">
        <v>558</v>
      </c>
      <c r="C1122">
        <v>6077</v>
      </c>
      <c r="D1122" t="s">
        <v>1966</v>
      </c>
      <c r="E1122" t="s">
        <v>89</v>
      </c>
      <c r="F1122" t="s">
        <v>73</v>
      </c>
      <c r="G1122" t="s">
        <v>1967</v>
      </c>
      <c r="H1122" t="str">
        <f>"201511014294"</f>
        <v>201511014294</v>
      </c>
      <c r="I1122">
        <v>815.1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30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Y1122">
        <v>0</v>
      </c>
      <c r="Z1122">
        <v>845.1</v>
      </c>
    </row>
    <row r="1123" spans="1:26" x14ac:dyDescent="0.25">
      <c r="H1123" t="s">
        <v>1968</v>
      </c>
    </row>
    <row r="1124" spans="1:26" x14ac:dyDescent="0.25">
      <c r="A1124">
        <v>559</v>
      </c>
      <c r="C1124">
        <v>5767</v>
      </c>
      <c r="D1124" t="s">
        <v>1969</v>
      </c>
      <c r="E1124" t="s">
        <v>338</v>
      </c>
      <c r="F1124" t="s">
        <v>90</v>
      </c>
      <c r="G1124" t="s">
        <v>1970</v>
      </c>
      <c r="H1124" t="str">
        <f>"201511017184"</f>
        <v>201511017184</v>
      </c>
      <c r="I1124">
        <v>815.1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30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Y1124">
        <v>0</v>
      </c>
      <c r="Z1124">
        <v>845.1</v>
      </c>
    </row>
    <row r="1125" spans="1:26" x14ac:dyDescent="0.25">
      <c r="H1125" t="s">
        <v>1971</v>
      </c>
    </row>
    <row r="1126" spans="1:26" x14ac:dyDescent="0.25">
      <c r="A1126">
        <v>560</v>
      </c>
      <c r="C1126">
        <v>6472</v>
      </c>
      <c r="D1126" t="s">
        <v>1972</v>
      </c>
      <c r="E1126" t="s">
        <v>193</v>
      </c>
      <c r="F1126" t="s">
        <v>51</v>
      </c>
      <c r="G1126" t="s">
        <v>1973</v>
      </c>
      <c r="H1126" t="str">
        <f>"201511008793"</f>
        <v>201511008793</v>
      </c>
      <c r="I1126">
        <v>774.4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70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Y1126">
        <v>0</v>
      </c>
      <c r="Z1126">
        <v>844.4</v>
      </c>
    </row>
    <row r="1127" spans="1:26" x14ac:dyDescent="0.25">
      <c r="H1127" t="s">
        <v>1974</v>
      </c>
    </row>
    <row r="1128" spans="1:26" x14ac:dyDescent="0.25">
      <c r="A1128">
        <v>561</v>
      </c>
      <c r="C1128">
        <v>14227</v>
      </c>
      <c r="D1128" t="s">
        <v>1036</v>
      </c>
      <c r="E1128" t="s">
        <v>164</v>
      </c>
      <c r="F1128" t="s">
        <v>194</v>
      </c>
      <c r="G1128" t="s">
        <v>1975</v>
      </c>
      <c r="H1128" t="str">
        <f>"200802011057"</f>
        <v>200802011057</v>
      </c>
      <c r="I1128">
        <v>794.2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50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Y1128">
        <v>0</v>
      </c>
      <c r="Z1128">
        <v>844.2</v>
      </c>
    </row>
    <row r="1129" spans="1:26" x14ac:dyDescent="0.25">
      <c r="H1129" t="s">
        <v>1976</v>
      </c>
    </row>
    <row r="1130" spans="1:26" x14ac:dyDescent="0.25">
      <c r="A1130">
        <v>562</v>
      </c>
      <c r="C1130">
        <v>2296</v>
      </c>
      <c r="D1130" t="s">
        <v>1977</v>
      </c>
      <c r="E1130" t="s">
        <v>112</v>
      </c>
      <c r="F1130" t="s">
        <v>204</v>
      </c>
      <c r="G1130" t="s">
        <v>1978</v>
      </c>
      <c r="H1130" t="str">
        <f>"201511023189"</f>
        <v>201511023189</v>
      </c>
      <c r="I1130">
        <v>814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30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Y1130">
        <v>0</v>
      </c>
      <c r="Z1130">
        <v>844</v>
      </c>
    </row>
    <row r="1131" spans="1:26" x14ac:dyDescent="0.25">
      <c r="H1131" t="s">
        <v>1979</v>
      </c>
    </row>
    <row r="1132" spans="1:26" x14ac:dyDescent="0.25">
      <c r="A1132">
        <v>563</v>
      </c>
      <c r="C1132">
        <v>8016</v>
      </c>
      <c r="D1132" t="s">
        <v>1980</v>
      </c>
      <c r="E1132" t="s">
        <v>51</v>
      </c>
      <c r="F1132" t="s">
        <v>1981</v>
      </c>
      <c r="G1132" t="s">
        <v>1982</v>
      </c>
      <c r="H1132" t="str">
        <f>"00727839"</f>
        <v>00727839</v>
      </c>
      <c r="I1132">
        <v>814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30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Y1132">
        <v>0</v>
      </c>
      <c r="Z1132">
        <v>844</v>
      </c>
    </row>
    <row r="1133" spans="1:26" x14ac:dyDescent="0.25">
      <c r="H1133" t="s">
        <v>1983</v>
      </c>
    </row>
    <row r="1134" spans="1:26" x14ac:dyDescent="0.25">
      <c r="A1134">
        <v>564</v>
      </c>
      <c r="C1134">
        <v>9522</v>
      </c>
      <c r="D1134" t="s">
        <v>1984</v>
      </c>
      <c r="E1134" t="s">
        <v>399</v>
      </c>
      <c r="F1134" t="s">
        <v>1985</v>
      </c>
      <c r="G1134" t="s">
        <v>1986</v>
      </c>
      <c r="H1134" t="str">
        <f>"201511008480"</f>
        <v>201511008480</v>
      </c>
      <c r="I1134">
        <v>814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30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Y1134">
        <v>0</v>
      </c>
      <c r="Z1134">
        <v>844</v>
      </c>
    </row>
    <row r="1135" spans="1:26" x14ac:dyDescent="0.25">
      <c r="H1135" t="s">
        <v>1987</v>
      </c>
    </row>
    <row r="1136" spans="1:26" x14ac:dyDescent="0.25">
      <c r="A1136">
        <v>565</v>
      </c>
      <c r="C1136">
        <v>5631</v>
      </c>
      <c r="D1136" t="s">
        <v>1988</v>
      </c>
      <c r="E1136" t="s">
        <v>264</v>
      </c>
      <c r="F1136" t="s">
        <v>540</v>
      </c>
      <c r="G1136" t="s">
        <v>1989</v>
      </c>
      <c r="H1136" t="str">
        <f>"201512000611"</f>
        <v>201512000611</v>
      </c>
      <c r="I1136">
        <v>814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30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Y1136">
        <v>0</v>
      </c>
      <c r="Z1136">
        <v>844</v>
      </c>
    </row>
    <row r="1137" spans="1:26" x14ac:dyDescent="0.25">
      <c r="H1137" t="s">
        <v>1990</v>
      </c>
    </row>
    <row r="1138" spans="1:26" x14ac:dyDescent="0.25">
      <c r="A1138">
        <v>566</v>
      </c>
      <c r="C1138">
        <v>12830</v>
      </c>
      <c r="D1138" t="s">
        <v>1991</v>
      </c>
      <c r="E1138" t="s">
        <v>1992</v>
      </c>
      <c r="F1138" t="s">
        <v>148</v>
      </c>
      <c r="G1138" t="s">
        <v>1993</v>
      </c>
      <c r="H1138" t="str">
        <f>"201511027932"</f>
        <v>201511027932</v>
      </c>
      <c r="I1138">
        <v>843.7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Y1138">
        <v>0</v>
      </c>
      <c r="Z1138">
        <v>843.7</v>
      </c>
    </row>
    <row r="1139" spans="1:26" x14ac:dyDescent="0.25">
      <c r="H1139" t="s">
        <v>1994</v>
      </c>
    </row>
    <row r="1140" spans="1:26" x14ac:dyDescent="0.25">
      <c r="A1140">
        <v>567</v>
      </c>
      <c r="C1140">
        <v>8166</v>
      </c>
      <c r="D1140" t="s">
        <v>1995</v>
      </c>
      <c r="E1140" t="s">
        <v>365</v>
      </c>
      <c r="F1140" t="s">
        <v>51</v>
      </c>
      <c r="G1140" t="s">
        <v>1996</v>
      </c>
      <c r="H1140" t="str">
        <f>"00479256"</f>
        <v>00479256</v>
      </c>
      <c r="I1140">
        <v>843.7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Y1140">
        <v>0</v>
      </c>
      <c r="Z1140">
        <v>843.7</v>
      </c>
    </row>
    <row r="1141" spans="1:26" x14ac:dyDescent="0.25">
      <c r="H1141" t="s">
        <v>1997</v>
      </c>
    </row>
    <row r="1142" spans="1:26" x14ac:dyDescent="0.25">
      <c r="A1142">
        <v>568</v>
      </c>
      <c r="C1142">
        <v>9311</v>
      </c>
      <c r="D1142" t="s">
        <v>1998</v>
      </c>
      <c r="E1142" t="s">
        <v>1999</v>
      </c>
      <c r="F1142" t="s">
        <v>898</v>
      </c>
      <c r="G1142" t="s">
        <v>2000</v>
      </c>
      <c r="H1142" t="str">
        <f>"00497431"</f>
        <v>00497431</v>
      </c>
      <c r="I1142">
        <v>773.3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70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Y1142">
        <v>0</v>
      </c>
      <c r="Z1142">
        <v>843.3</v>
      </c>
    </row>
    <row r="1143" spans="1:26" x14ac:dyDescent="0.25">
      <c r="H1143" t="s">
        <v>2001</v>
      </c>
    </row>
    <row r="1144" spans="1:26" x14ac:dyDescent="0.25">
      <c r="A1144">
        <v>569</v>
      </c>
      <c r="C1144">
        <v>223</v>
      </c>
      <c r="D1144" t="s">
        <v>2002</v>
      </c>
      <c r="E1144" t="s">
        <v>415</v>
      </c>
      <c r="F1144" t="s">
        <v>39</v>
      </c>
      <c r="G1144" t="s">
        <v>2003</v>
      </c>
      <c r="H1144" t="str">
        <f>"00479070"</f>
        <v>00479070</v>
      </c>
      <c r="I1144">
        <v>773.3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70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Y1144">
        <v>0</v>
      </c>
      <c r="Z1144">
        <v>843.3</v>
      </c>
    </row>
    <row r="1145" spans="1:26" x14ac:dyDescent="0.25">
      <c r="H1145" t="s">
        <v>2004</v>
      </c>
    </row>
    <row r="1146" spans="1:26" x14ac:dyDescent="0.25">
      <c r="A1146">
        <v>570</v>
      </c>
      <c r="C1146">
        <v>14484</v>
      </c>
      <c r="D1146" t="s">
        <v>2005</v>
      </c>
      <c r="E1146" t="s">
        <v>2006</v>
      </c>
      <c r="F1146" t="s">
        <v>2007</v>
      </c>
      <c r="G1146" t="s">
        <v>2008</v>
      </c>
      <c r="H1146" t="str">
        <f>"200712000695"</f>
        <v>200712000695</v>
      </c>
      <c r="I1146">
        <v>793.1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50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Y1146">
        <v>0</v>
      </c>
      <c r="Z1146">
        <v>843.1</v>
      </c>
    </row>
    <row r="1147" spans="1:26" x14ac:dyDescent="0.25">
      <c r="H1147" t="s">
        <v>2009</v>
      </c>
    </row>
    <row r="1148" spans="1:26" x14ac:dyDescent="0.25">
      <c r="A1148">
        <v>571</v>
      </c>
      <c r="C1148">
        <v>13603</v>
      </c>
      <c r="D1148" t="s">
        <v>2010</v>
      </c>
      <c r="E1148" t="s">
        <v>2011</v>
      </c>
      <c r="F1148" t="s">
        <v>51</v>
      </c>
      <c r="G1148" t="s">
        <v>2012</v>
      </c>
      <c r="H1148" t="str">
        <f>"00499975"</f>
        <v>00499975</v>
      </c>
      <c r="I1148">
        <v>812.9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30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Y1148">
        <v>0</v>
      </c>
      <c r="Z1148">
        <v>842.9</v>
      </c>
    </row>
    <row r="1149" spans="1:26" x14ac:dyDescent="0.25">
      <c r="H1149" t="s">
        <v>2013</v>
      </c>
    </row>
    <row r="1150" spans="1:26" x14ac:dyDescent="0.25">
      <c r="A1150">
        <v>572</v>
      </c>
      <c r="C1150">
        <v>16580</v>
      </c>
      <c r="D1150" t="s">
        <v>2014</v>
      </c>
      <c r="E1150" t="s">
        <v>373</v>
      </c>
      <c r="F1150" t="s">
        <v>127</v>
      </c>
      <c r="G1150" t="s">
        <v>2015</v>
      </c>
      <c r="H1150" t="str">
        <f>"201511025612"</f>
        <v>201511025612</v>
      </c>
      <c r="I1150">
        <v>812.9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30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Y1150">
        <v>0</v>
      </c>
      <c r="Z1150">
        <v>842.9</v>
      </c>
    </row>
    <row r="1151" spans="1:26" x14ac:dyDescent="0.25">
      <c r="H1151" t="s">
        <v>2016</v>
      </c>
    </row>
    <row r="1152" spans="1:26" x14ac:dyDescent="0.25">
      <c r="A1152">
        <v>573</v>
      </c>
      <c r="C1152">
        <v>14742</v>
      </c>
      <c r="D1152" t="s">
        <v>2017</v>
      </c>
      <c r="E1152" t="s">
        <v>2018</v>
      </c>
      <c r="F1152" t="s">
        <v>1809</v>
      </c>
      <c r="G1152" t="s">
        <v>2019</v>
      </c>
      <c r="H1152" t="str">
        <f>"201511008881"</f>
        <v>201511008881</v>
      </c>
      <c r="I1152">
        <v>812.9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30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Y1152">
        <v>0</v>
      </c>
      <c r="Z1152">
        <v>842.9</v>
      </c>
    </row>
    <row r="1153" spans="1:26" x14ac:dyDescent="0.25">
      <c r="H1153" t="s">
        <v>2020</v>
      </c>
    </row>
    <row r="1154" spans="1:26" x14ac:dyDescent="0.25">
      <c r="A1154">
        <v>574</v>
      </c>
      <c r="C1154">
        <v>9632</v>
      </c>
      <c r="D1154" t="s">
        <v>2021</v>
      </c>
      <c r="E1154" t="s">
        <v>107</v>
      </c>
      <c r="F1154" t="s">
        <v>2022</v>
      </c>
      <c r="G1154" t="s">
        <v>2023</v>
      </c>
      <c r="H1154" t="str">
        <f>"201510002778"</f>
        <v>201510002778</v>
      </c>
      <c r="I1154">
        <v>812.9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30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Y1154">
        <v>0</v>
      </c>
      <c r="Z1154">
        <v>842.9</v>
      </c>
    </row>
    <row r="1155" spans="1:26" x14ac:dyDescent="0.25">
      <c r="H1155" t="s">
        <v>2024</v>
      </c>
    </row>
    <row r="1156" spans="1:26" x14ac:dyDescent="0.25">
      <c r="A1156">
        <v>575</v>
      </c>
      <c r="C1156">
        <v>5014</v>
      </c>
      <c r="D1156" t="s">
        <v>2025</v>
      </c>
      <c r="E1156" t="s">
        <v>39</v>
      </c>
      <c r="F1156" t="s">
        <v>127</v>
      </c>
      <c r="G1156" t="s">
        <v>2026</v>
      </c>
      <c r="H1156" t="str">
        <f>"00482589"</f>
        <v>00482589</v>
      </c>
      <c r="I1156">
        <v>812.9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30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Y1156">
        <v>1</v>
      </c>
      <c r="Z1156">
        <v>842.9</v>
      </c>
    </row>
    <row r="1157" spans="1:26" x14ac:dyDescent="0.25">
      <c r="H1157" t="s">
        <v>2027</v>
      </c>
    </row>
    <row r="1158" spans="1:26" x14ac:dyDescent="0.25">
      <c r="A1158">
        <v>576</v>
      </c>
      <c r="C1158">
        <v>802</v>
      </c>
      <c r="D1158" t="s">
        <v>2028</v>
      </c>
      <c r="E1158" t="s">
        <v>2029</v>
      </c>
      <c r="F1158" t="s">
        <v>346</v>
      </c>
      <c r="G1158" t="s">
        <v>2030</v>
      </c>
      <c r="H1158" t="str">
        <f>"201511042060"</f>
        <v>201511042060</v>
      </c>
      <c r="I1158">
        <v>842.6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Y1158">
        <v>0</v>
      </c>
      <c r="Z1158">
        <v>842.6</v>
      </c>
    </row>
    <row r="1159" spans="1:26" x14ac:dyDescent="0.25">
      <c r="H1159" t="s">
        <v>2031</v>
      </c>
    </row>
    <row r="1160" spans="1:26" x14ac:dyDescent="0.25">
      <c r="A1160">
        <v>577</v>
      </c>
      <c r="C1160">
        <v>14642</v>
      </c>
      <c r="D1160" t="s">
        <v>2032</v>
      </c>
      <c r="E1160" t="s">
        <v>430</v>
      </c>
      <c r="F1160" t="s">
        <v>39</v>
      </c>
      <c r="G1160" t="s">
        <v>2033</v>
      </c>
      <c r="H1160" t="str">
        <f>"00469471"</f>
        <v>00469471</v>
      </c>
      <c r="I1160">
        <v>842.6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Y1160">
        <v>0</v>
      </c>
      <c r="Z1160">
        <v>842.6</v>
      </c>
    </row>
    <row r="1161" spans="1:26" x14ac:dyDescent="0.25">
      <c r="H1161" t="s">
        <v>2034</v>
      </c>
    </row>
    <row r="1162" spans="1:26" x14ac:dyDescent="0.25">
      <c r="A1162">
        <v>578</v>
      </c>
      <c r="C1162">
        <v>13790</v>
      </c>
      <c r="D1162" t="s">
        <v>2035</v>
      </c>
      <c r="E1162" t="s">
        <v>148</v>
      </c>
      <c r="F1162" t="s">
        <v>39</v>
      </c>
      <c r="G1162" t="s">
        <v>2036</v>
      </c>
      <c r="H1162" t="str">
        <f>"201511011506"</f>
        <v>201511011506</v>
      </c>
      <c r="I1162">
        <v>811.8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30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Y1162">
        <v>0</v>
      </c>
      <c r="Z1162">
        <v>841.8</v>
      </c>
    </row>
    <row r="1163" spans="1:26" x14ac:dyDescent="0.25">
      <c r="H1163" t="s">
        <v>2037</v>
      </c>
    </row>
    <row r="1164" spans="1:26" x14ac:dyDescent="0.25">
      <c r="A1164">
        <v>579</v>
      </c>
      <c r="C1164">
        <v>1449</v>
      </c>
      <c r="D1164" t="s">
        <v>710</v>
      </c>
      <c r="E1164" t="s">
        <v>1399</v>
      </c>
      <c r="F1164" t="s">
        <v>127</v>
      </c>
      <c r="G1164" t="s">
        <v>2038</v>
      </c>
      <c r="H1164" t="str">
        <f>"00016643"</f>
        <v>00016643</v>
      </c>
      <c r="I1164">
        <v>811.8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30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Y1164">
        <v>0</v>
      </c>
      <c r="Z1164">
        <v>841.8</v>
      </c>
    </row>
    <row r="1165" spans="1:26" x14ac:dyDescent="0.25">
      <c r="H1165" t="s">
        <v>2039</v>
      </c>
    </row>
    <row r="1166" spans="1:26" x14ac:dyDescent="0.25">
      <c r="A1166">
        <v>580</v>
      </c>
      <c r="C1166">
        <v>11299</v>
      </c>
      <c r="D1166" t="s">
        <v>2040</v>
      </c>
      <c r="E1166" t="s">
        <v>2041</v>
      </c>
      <c r="F1166" t="s">
        <v>113</v>
      </c>
      <c r="G1166" t="s">
        <v>2042</v>
      </c>
      <c r="H1166" t="str">
        <f>"00500286"</f>
        <v>00500286</v>
      </c>
      <c r="I1166">
        <v>741.4</v>
      </c>
      <c r="J1166">
        <v>0</v>
      </c>
      <c r="K1166">
        <v>0</v>
      </c>
      <c r="L1166">
        <v>0</v>
      </c>
      <c r="M1166">
        <v>0</v>
      </c>
      <c r="N1166">
        <v>100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Y1166">
        <v>0</v>
      </c>
      <c r="Z1166">
        <v>841.4</v>
      </c>
    </row>
    <row r="1167" spans="1:26" x14ac:dyDescent="0.25">
      <c r="H1167" t="s">
        <v>2043</v>
      </c>
    </row>
    <row r="1168" spans="1:26" x14ac:dyDescent="0.25">
      <c r="A1168">
        <v>581</v>
      </c>
      <c r="C1168">
        <v>7376</v>
      </c>
      <c r="D1168" t="s">
        <v>2044</v>
      </c>
      <c r="E1168" t="s">
        <v>248</v>
      </c>
      <c r="F1168" t="s">
        <v>39</v>
      </c>
      <c r="G1168" t="s">
        <v>2045</v>
      </c>
      <c r="H1168" t="str">
        <f>"201406005319"</f>
        <v>201406005319</v>
      </c>
      <c r="I1168">
        <v>771.1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70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Y1168">
        <v>0</v>
      </c>
      <c r="Z1168">
        <v>841.1</v>
      </c>
    </row>
    <row r="1169" spans="1:26" x14ac:dyDescent="0.25">
      <c r="H1169" t="s">
        <v>2046</v>
      </c>
    </row>
    <row r="1170" spans="1:26" x14ac:dyDescent="0.25">
      <c r="A1170">
        <v>582</v>
      </c>
      <c r="C1170">
        <v>16455</v>
      </c>
      <c r="D1170" t="s">
        <v>2047</v>
      </c>
      <c r="E1170" t="s">
        <v>510</v>
      </c>
      <c r="F1170" t="s">
        <v>2048</v>
      </c>
      <c r="G1170" t="s">
        <v>2049</v>
      </c>
      <c r="H1170" t="str">
        <f>"201511033921"</f>
        <v>201511033921</v>
      </c>
      <c r="I1170">
        <v>781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30</v>
      </c>
      <c r="P1170">
        <v>30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Y1170">
        <v>0</v>
      </c>
      <c r="Z1170">
        <v>841</v>
      </c>
    </row>
    <row r="1171" spans="1:26" x14ac:dyDescent="0.25">
      <c r="H1171" t="s">
        <v>2050</v>
      </c>
    </row>
    <row r="1172" spans="1:26" x14ac:dyDescent="0.25">
      <c r="A1172">
        <v>583</v>
      </c>
      <c r="C1172">
        <v>9444</v>
      </c>
      <c r="D1172" t="s">
        <v>2051</v>
      </c>
      <c r="E1172" t="s">
        <v>164</v>
      </c>
      <c r="F1172" t="s">
        <v>73</v>
      </c>
      <c r="G1172" t="s">
        <v>2052</v>
      </c>
      <c r="H1172" t="str">
        <f>"201511040902"</f>
        <v>201511040902</v>
      </c>
      <c r="I1172">
        <v>790.9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50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Y1172">
        <v>0</v>
      </c>
      <c r="Z1172">
        <v>840.9</v>
      </c>
    </row>
    <row r="1173" spans="1:26" x14ac:dyDescent="0.25">
      <c r="H1173" t="s">
        <v>2053</v>
      </c>
    </row>
    <row r="1174" spans="1:26" x14ac:dyDescent="0.25">
      <c r="A1174">
        <v>584</v>
      </c>
      <c r="C1174">
        <v>16492</v>
      </c>
      <c r="D1174" t="s">
        <v>1423</v>
      </c>
      <c r="E1174" t="s">
        <v>38</v>
      </c>
      <c r="F1174" t="s">
        <v>138</v>
      </c>
      <c r="G1174" t="s">
        <v>2054</v>
      </c>
      <c r="H1174" t="str">
        <f>"00088430"</f>
        <v>00088430</v>
      </c>
      <c r="I1174">
        <v>790.9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50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Y1174">
        <v>0</v>
      </c>
      <c r="Z1174">
        <v>840.9</v>
      </c>
    </row>
    <row r="1175" spans="1:26" x14ac:dyDescent="0.25">
      <c r="H1175" t="s">
        <v>2055</v>
      </c>
    </row>
    <row r="1176" spans="1:26" x14ac:dyDescent="0.25">
      <c r="A1176">
        <v>585</v>
      </c>
      <c r="C1176">
        <v>13274</v>
      </c>
      <c r="D1176" t="s">
        <v>2056</v>
      </c>
      <c r="E1176" t="s">
        <v>208</v>
      </c>
      <c r="F1176" t="s">
        <v>138</v>
      </c>
      <c r="G1176" t="s">
        <v>2057</v>
      </c>
      <c r="H1176" t="str">
        <f>"201511015214"</f>
        <v>201511015214</v>
      </c>
      <c r="I1176">
        <v>810.7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30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Y1176">
        <v>0</v>
      </c>
      <c r="Z1176">
        <v>840.7</v>
      </c>
    </row>
    <row r="1177" spans="1:26" x14ac:dyDescent="0.25">
      <c r="H1177" t="s">
        <v>2058</v>
      </c>
    </row>
    <row r="1178" spans="1:26" x14ac:dyDescent="0.25">
      <c r="A1178">
        <v>586</v>
      </c>
      <c r="C1178">
        <v>4332</v>
      </c>
      <c r="D1178" t="s">
        <v>2059</v>
      </c>
      <c r="E1178" t="s">
        <v>365</v>
      </c>
      <c r="F1178" t="s">
        <v>73</v>
      </c>
      <c r="G1178" t="s">
        <v>2060</v>
      </c>
      <c r="H1178" t="str">
        <f>"201602000087"</f>
        <v>201602000087</v>
      </c>
      <c r="I1178">
        <v>810.7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30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Y1178">
        <v>0</v>
      </c>
      <c r="Z1178">
        <v>840.7</v>
      </c>
    </row>
    <row r="1179" spans="1:26" x14ac:dyDescent="0.25">
      <c r="H1179" t="s">
        <v>2061</v>
      </c>
    </row>
    <row r="1180" spans="1:26" x14ac:dyDescent="0.25">
      <c r="A1180">
        <v>587</v>
      </c>
      <c r="C1180">
        <v>7602</v>
      </c>
      <c r="D1180" t="s">
        <v>2062</v>
      </c>
      <c r="E1180" t="s">
        <v>112</v>
      </c>
      <c r="F1180" t="s">
        <v>144</v>
      </c>
      <c r="G1180" t="s">
        <v>2063</v>
      </c>
      <c r="H1180" t="str">
        <f>"201511031008"</f>
        <v>201511031008</v>
      </c>
      <c r="I1180">
        <v>810.7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30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Y1180">
        <v>1</v>
      </c>
      <c r="Z1180">
        <v>840.7</v>
      </c>
    </row>
    <row r="1181" spans="1:26" x14ac:dyDescent="0.25">
      <c r="H1181" t="s">
        <v>2064</v>
      </c>
    </row>
    <row r="1182" spans="1:26" x14ac:dyDescent="0.25">
      <c r="A1182">
        <v>588</v>
      </c>
      <c r="C1182">
        <v>12804</v>
      </c>
      <c r="D1182" t="s">
        <v>2065</v>
      </c>
      <c r="E1182" t="s">
        <v>107</v>
      </c>
      <c r="F1182" t="s">
        <v>199</v>
      </c>
      <c r="G1182" t="s">
        <v>2066</v>
      </c>
      <c r="H1182" t="str">
        <f>"00030507"</f>
        <v>00030507</v>
      </c>
      <c r="I1182">
        <v>810.7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30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Y1182">
        <v>0</v>
      </c>
      <c r="Z1182">
        <v>840.7</v>
      </c>
    </row>
    <row r="1183" spans="1:26" x14ac:dyDescent="0.25">
      <c r="H1183" t="s">
        <v>2067</v>
      </c>
    </row>
    <row r="1184" spans="1:26" x14ac:dyDescent="0.25">
      <c r="A1184">
        <v>589</v>
      </c>
      <c r="C1184">
        <v>4728</v>
      </c>
      <c r="D1184" t="s">
        <v>2068</v>
      </c>
      <c r="E1184" t="s">
        <v>235</v>
      </c>
      <c r="F1184" t="s">
        <v>73</v>
      </c>
      <c r="G1184" t="s">
        <v>2069</v>
      </c>
      <c r="H1184" t="str">
        <f>"201511038159"</f>
        <v>201511038159</v>
      </c>
      <c r="I1184">
        <v>840.4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Y1184">
        <v>0</v>
      </c>
      <c r="Z1184">
        <v>840.4</v>
      </c>
    </row>
    <row r="1185" spans="1:26" x14ac:dyDescent="0.25">
      <c r="H1185" t="s">
        <v>2070</v>
      </c>
    </row>
    <row r="1186" spans="1:26" x14ac:dyDescent="0.25">
      <c r="A1186">
        <v>590</v>
      </c>
      <c r="C1186">
        <v>10442</v>
      </c>
      <c r="D1186" t="s">
        <v>2071</v>
      </c>
      <c r="E1186" t="s">
        <v>2072</v>
      </c>
      <c r="F1186" t="s">
        <v>2073</v>
      </c>
      <c r="G1186" t="s">
        <v>2074</v>
      </c>
      <c r="H1186" t="str">
        <f>"00739408"</f>
        <v>00739408</v>
      </c>
      <c r="I1186">
        <v>840.4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Y1186">
        <v>0</v>
      </c>
      <c r="Z1186">
        <v>840.4</v>
      </c>
    </row>
    <row r="1187" spans="1:26" x14ac:dyDescent="0.25">
      <c r="H1187" t="s">
        <v>2075</v>
      </c>
    </row>
    <row r="1188" spans="1:26" x14ac:dyDescent="0.25">
      <c r="A1188">
        <v>591</v>
      </c>
      <c r="C1188">
        <v>15084</v>
      </c>
      <c r="D1188" t="s">
        <v>2076</v>
      </c>
      <c r="E1188" t="s">
        <v>2077</v>
      </c>
      <c r="F1188" t="s">
        <v>144</v>
      </c>
      <c r="G1188" t="s">
        <v>2078</v>
      </c>
      <c r="H1188" t="str">
        <f>"00102721"</f>
        <v>00102721</v>
      </c>
      <c r="I1188">
        <v>770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70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Y1188">
        <v>0</v>
      </c>
      <c r="Z1188">
        <v>840</v>
      </c>
    </row>
    <row r="1189" spans="1:26" x14ac:dyDescent="0.25">
      <c r="H1189" t="s">
        <v>2079</v>
      </c>
    </row>
    <row r="1190" spans="1:26" x14ac:dyDescent="0.25">
      <c r="A1190">
        <v>592</v>
      </c>
      <c r="C1190">
        <v>12202</v>
      </c>
      <c r="D1190" t="s">
        <v>2080</v>
      </c>
      <c r="E1190" t="s">
        <v>112</v>
      </c>
      <c r="F1190" t="s">
        <v>84</v>
      </c>
      <c r="G1190" t="s">
        <v>2081</v>
      </c>
      <c r="H1190" t="str">
        <f>"201510002090"</f>
        <v>201510002090</v>
      </c>
      <c r="I1190">
        <v>779.9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30</v>
      </c>
      <c r="P1190">
        <v>30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Y1190">
        <v>0</v>
      </c>
      <c r="Z1190">
        <v>839.9</v>
      </c>
    </row>
    <row r="1191" spans="1:26" x14ac:dyDescent="0.25">
      <c r="H1191" t="s">
        <v>2082</v>
      </c>
    </row>
    <row r="1192" spans="1:26" x14ac:dyDescent="0.25">
      <c r="A1192">
        <v>593</v>
      </c>
      <c r="C1192">
        <v>12145</v>
      </c>
      <c r="D1192" t="s">
        <v>2083</v>
      </c>
      <c r="E1192" t="s">
        <v>38</v>
      </c>
      <c r="F1192" t="s">
        <v>2084</v>
      </c>
      <c r="G1192" t="s">
        <v>2085</v>
      </c>
      <c r="H1192" t="str">
        <f>"00718275"</f>
        <v>00718275</v>
      </c>
      <c r="I1192">
        <v>809.6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30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Y1192">
        <v>0</v>
      </c>
      <c r="Z1192">
        <v>839.6</v>
      </c>
    </row>
    <row r="1193" spans="1:26" x14ac:dyDescent="0.25">
      <c r="H1193" t="s">
        <v>2086</v>
      </c>
    </row>
    <row r="1194" spans="1:26" x14ac:dyDescent="0.25">
      <c r="A1194">
        <v>594</v>
      </c>
      <c r="C1194">
        <v>15952</v>
      </c>
      <c r="D1194" t="s">
        <v>2087</v>
      </c>
      <c r="E1194" t="s">
        <v>2011</v>
      </c>
      <c r="F1194" t="s">
        <v>2088</v>
      </c>
      <c r="G1194" t="s">
        <v>2089</v>
      </c>
      <c r="H1194" t="str">
        <f>"00163601"</f>
        <v>00163601</v>
      </c>
      <c r="I1194">
        <v>809.6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30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Y1194">
        <v>0</v>
      </c>
      <c r="Z1194">
        <v>839.6</v>
      </c>
    </row>
    <row r="1195" spans="1:26" x14ac:dyDescent="0.25">
      <c r="H1195" t="s">
        <v>2090</v>
      </c>
    </row>
    <row r="1196" spans="1:26" x14ac:dyDescent="0.25">
      <c r="A1196">
        <v>595</v>
      </c>
      <c r="C1196">
        <v>14165</v>
      </c>
      <c r="D1196" t="s">
        <v>2091</v>
      </c>
      <c r="E1196" t="s">
        <v>182</v>
      </c>
      <c r="F1196" t="s">
        <v>194</v>
      </c>
      <c r="G1196" t="s">
        <v>2092</v>
      </c>
      <c r="H1196" t="str">
        <f>"00023515"</f>
        <v>00023515</v>
      </c>
      <c r="I1196">
        <v>839.3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Y1196">
        <v>0</v>
      </c>
      <c r="Z1196">
        <v>839.3</v>
      </c>
    </row>
    <row r="1197" spans="1:26" x14ac:dyDescent="0.25">
      <c r="H1197" t="s">
        <v>2093</v>
      </c>
    </row>
    <row r="1198" spans="1:26" x14ac:dyDescent="0.25">
      <c r="A1198">
        <v>596</v>
      </c>
      <c r="C1198">
        <v>12988</v>
      </c>
      <c r="D1198" t="s">
        <v>2094</v>
      </c>
      <c r="E1198" t="s">
        <v>558</v>
      </c>
      <c r="F1198" t="s">
        <v>73</v>
      </c>
      <c r="G1198" t="s">
        <v>2095</v>
      </c>
      <c r="H1198" t="str">
        <f>"201511041533"</f>
        <v>201511041533</v>
      </c>
      <c r="I1198">
        <v>808.5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30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Y1198">
        <v>0</v>
      </c>
      <c r="Z1198">
        <v>838.5</v>
      </c>
    </row>
    <row r="1199" spans="1:26" x14ac:dyDescent="0.25">
      <c r="H1199" t="s">
        <v>2096</v>
      </c>
    </row>
    <row r="1200" spans="1:26" x14ac:dyDescent="0.25">
      <c r="A1200">
        <v>597</v>
      </c>
      <c r="C1200">
        <v>8019</v>
      </c>
      <c r="D1200" t="s">
        <v>1969</v>
      </c>
      <c r="E1200" t="s">
        <v>256</v>
      </c>
      <c r="F1200" t="s">
        <v>302</v>
      </c>
      <c r="G1200" t="s">
        <v>2097</v>
      </c>
      <c r="H1200" t="str">
        <f>"00490050"</f>
        <v>00490050</v>
      </c>
      <c r="I1200">
        <v>808.5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30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Y1200">
        <v>0</v>
      </c>
      <c r="Z1200">
        <v>838.5</v>
      </c>
    </row>
    <row r="1201" spans="1:26" x14ac:dyDescent="0.25">
      <c r="H1201" t="s">
        <v>2098</v>
      </c>
    </row>
    <row r="1202" spans="1:26" x14ac:dyDescent="0.25">
      <c r="A1202">
        <v>598</v>
      </c>
      <c r="C1202">
        <v>11261</v>
      </c>
      <c r="D1202" t="s">
        <v>2099</v>
      </c>
      <c r="E1202" t="s">
        <v>248</v>
      </c>
      <c r="F1202" t="s">
        <v>133</v>
      </c>
      <c r="G1202" t="s">
        <v>2100</v>
      </c>
      <c r="H1202" t="str">
        <f>"201511040856"</f>
        <v>201511040856</v>
      </c>
      <c r="I1202">
        <v>808.5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30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Y1202">
        <v>0</v>
      </c>
      <c r="Z1202">
        <v>838.5</v>
      </c>
    </row>
    <row r="1203" spans="1:26" x14ac:dyDescent="0.25">
      <c r="H1203" t="s">
        <v>2101</v>
      </c>
    </row>
    <row r="1204" spans="1:26" x14ac:dyDescent="0.25">
      <c r="A1204">
        <v>599</v>
      </c>
      <c r="C1204">
        <v>9142</v>
      </c>
      <c r="D1204" t="s">
        <v>2102</v>
      </c>
      <c r="E1204" t="s">
        <v>456</v>
      </c>
      <c r="F1204" t="s">
        <v>90</v>
      </c>
      <c r="G1204" t="s">
        <v>2103</v>
      </c>
      <c r="H1204" t="str">
        <f>"201511036278"</f>
        <v>201511036278</v>
      </c>
      <c r="I1204">
        <v>838.2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Y1204">
        <v>0</v>
      </c>
      <c r="Z1204">
        <v>838.2</v>
      </c>
    </row>
    <row r="1205" spans="1:26" x14ac:dyDescent="0.25">
      <c r="H1205" t="s">
        <v>2104</v>
      </c>
    </row>
    <row r="1206" spans="1:26" x14ac:dyDescent="0.25">
      <c r="A1206">
        <v>600</v>
      </c>
      <c r="C1206">
        <v>11770</v>
      </c>
      <c r="D1206" t="s">
        <v>2105</v>
      </c>
      <c r="E1206" t="s">
        <v>1560</v>
      </c>
      <c r="F1206" t="s">
        <v>51</v>
      </c>
      <c r="G1206" t="s">
        <v>2106</v>
      </c>
      <c r="H1206" t="str">
        <f>"201511035975"</f>
        <v>201511035975</v>
      </c>
      <c r="I1206">
        <v>838.2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Y1206">
        <v>0</v>
      </c>
      <c r="Z1206">
        <v>838.2</v>
      </c>
    </row>
    <row r="1207" spans="1:26" x14ac:dyDescent="0.25">
      <c r="H1207" t="s">
        <v>2107</v>
      </c>
    </row>
    <row r="1208" spans="1:26" x14ac:dyDescent="0.25">
      <c r="A1208">
        <v>601</v>
      </c>
      <c r="C1208">
        <v>7071</v>
      </c>
      <c r="D1208" t="s">
        <v>2108</v>
      </c>
      <c r="E1208" t="s">
        <v>1943</v>
      </c>
      <c r="F1208" t="s">
        <v>126</v>
      </c>
      <c r="G1208" t="s">
        <v>2109</v>
      </c>
      <c r="H1208" t="str">
        <f>"201407000006"</f>
        <v>201407000006</v>
      </c>
      <c r="I1208">
        <v>787.6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50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Y1208">
        <v>0</v>
      </c>
      <c r="Z1208">
        <v>837.6</v>
      </c>
    </row>
    <row r="1209" spans="1:26" x14ac:dyDescent="0.25">
      <c r="H1209" t="s">
        <v>2110</v>
      </c>
    </row>
    <row r="1210" spans="1:26" x14ac:dyDescent="0.25">
      <c r="A1210">
        <v>602</v>
      </c>
      <c r="C1210">
        <v>15610</v>
      </c>
      <c r="D1210" t="s">
        <v>2111</v>
      </c>
      <c r="E1210" t="s">
        <v>275</v>
      </c>
      <c r="F1210" t="s">
        <v>39</v>
      </c>
      <c r="G1210" t="s">
        <v>2112</v>
      </c>
      <c r="H1210" t="str">
        <f>"00080521"</f>
        <v>00080521</v>
      </c>
      <c r="I1210">
        <v>787.6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50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Y1210">
        <v>0</v>
      </c>
      <c r="Z1210">
        <v>837.6</v>
      </c>
    </row>
    <row r="1211" spans="1:26" x14ac:dyDescent="0.25">
      <c r="H1211" t="s">
        <v>2113</v>
      </c>
    </row>
    <row r="1212" spans="1:26" x14ac:dyDescent="0.25">
      <c r="A1212">
        <v>603</v>
      </c>
      <c r="C1212">
        <v>7921</v>
      </c>
      <c r="D1212" t="s">
        <v>2114</v>
      </c>
      <c r="E1212" t="s">
        <v>2115</v>
      </c>
      <c r="F1212" t="s">
        <v>199</v>
      </c>
      <c r="G1212" t="s">
        <v>2116</v>
      </c>
      <c r="H1212" t="str">
        <f>"201511030413"</f>
        <v>201511030413</v>
      </c>
      <c r="I1212">
        <v>807.4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30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Y1212">
        <v>0</v>
      </c>
      <c r="Z1212">
        <v>837.4</v>
      </c>
    </row>
    <row r="1213" spans="1:26" x14ac:dyDescent="0.25">
      <c r="H1213" t="s">
        <v>545</v>
      </c>
    </row>
    <row r="1214" spans="1:26" x14ac:dyDescent="0.25">
      <c r="A1214">
        <v>604</v>
      </c>
      <c r="C1214">
        <v>2</v>
      </c>
      <c r="D1214" t="s">
        <v>2117</v>
      </c>
      <c r="E1214" t="s">
        <v>248</v>
      </c>
      <c r="F1214" t="s">
        <v>133</v>
      </c>
      <c r="G1214" t="s">
        <v>2118</v>
      </c>
      <c r="H1214" t="str">
        <f>"201402002094"</f>
        <v>201402002094</v>
      </c>
      <c r="I1214">
        <v>807.4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30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Y1214">
        <v>0</v>
      </c>
      <c r="Z1214">
        <v>837.4</v>
      </c>
    </row>
    <row r="1215" spans="1:26" x14ac:dyDescent="0.25">
      <c r="H1215" t="s">
        <v>2119</v>
      </c>
    </row>
    <row r="1216" spans="1:26" x14ac:dyDescent="0.25">
      <c r="A1216">
        <v>605</v>
      </c>
      <c r="B1216" t="s">
        <v>2120</v>
      </c>
      <c r="C1216">
        <v>12636</v>
      </c>
      <c r="D1216" t="s">
        <v>2121</v>
      </c>
      <c r="E1216" t="s">
        <v>1125</v>
      </c>
      <c r="F1216" t="s">
        <v>113</v>
      </c>
      <c r="G1216" t="s">
        <v>2122</v>
      </c>
      <c r="H1216" t="str">
        <f>"00500479"</f>
        <v>00500479</v>
      </c>
      <c r="I1216">
        <v>807.4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30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Y1216">
        <v>1</v>
      </c>
      <c r="Z1216">
        <v>837.4</v>
      </c>
    </row>
    <row r="1217" spans="1:26" x14ac:dyDescent="0.25">
      <c r="H1217" t="s">
        <v>2123</v>
      </c>
    </row>
    <row r="1218" spans="1:26" x14ac:dyDescent="0.25">
      <c r="A1218">
        <v>606</v>
      </c>
      <c r="C1218">
        <v>7958</v>
      </c>
      <c r="D1218" t="s">
        <v>2124</v>
      </c>
      <c r="E1218" t="s">
        <v>248</v>
      </c>
      <c r="F1218" t="s">
        <v>148</v>
      </c>
      <c r="G1218" t="s">
        <v>2125</v>
      </c>
      <c r="H1218" t="str">
        <f>"201511030446"</f>
        <v>201511030446</v>
      </c>
      <c r="I1218">
        <v>807.4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30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Y1218">
        <v>0</v>
      </c>
      <c r="Z1218">
        <v>837.4</v>
      </c>
    </row>
    <row r="1219" spans="1:26" x14ac:dyDescent="0.25">
      <c r="H1219" t="s">
        <v>2126</v>
      </c>
    </row>
    <row r="1220" spans="1:26" x14ac:dyDescent="0.25">
      <c r="A1220">
        <v>607</v>
      </c>
      <c r="C1220">
        <v>3217</v>
      </c>
      <c r="D1220" t="s">
        <v>2127</v>
      </c>
      <c r="E1220" t="s">
        <v>248</v>
      </c>
      <c r="F1220" t="s">
        <v>51</v>
      </c>
      <c r="G1220" t="s">
        <v>2128</v>
      </c>
      <c r="H1220" t="str">
        <f>"00491248"</f>
        <v>00491248</v>
      </c>
      <c r="I1220">
        <v>807.4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30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Y1220">
        <v>0</v>
      </c>
      <c r="Z1220">
        <v>837.4</v>
      </c>
    </row>
    <row r="1221" spans="1:26" x14ac:dyDescent="0.25">
      <c r="H1221" t="s">
        <v>2129</v>
      </c>
    </row>
    <row r="1222" spans="1:26" x14ac:dyDescent="0.25">
      <c r="A1222">
        <v>608</v>
      </c>
      <c r="C1222">
        <v>13901</v>
      </c>
      <c r="D1222" t="s">
        <v>2130</v>
      </c>
      <c r="E1222" t="s">
        <v>415</v>
      </c>
      <c r="F1222" t="s">
        <v>2131</v>
      </c>
      <c r="G1222" t="s">
        <v>2132</v>
      </c>
      <c r="H1222" t="str">
        <f>"201511025158"</f>
        <v>201511025158</v>
      </c>
      <c r="I1222">
        <v>837.1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Y1222">
        <v>0</v>
      </c>
      <c r="Z1222">
        <v>837.1</v>
      </c>
    </row>
    <row r="1223" spans="1:26" x14ac:dyDescent="0.25">
      <c r="H1223" t="s">
        <v>2133</v>
      </c>
    </row>
    <row r="1224" spans="1:26" x14ac:dyDescent="0.25">
      <c r="A1224">
        <v>609</v>
      </c>
      <c r="C1224">
        <v>337</v>
      </c>
      <c r="D1224" t="s">
        <v>2134</v>
      </c>
      <c r="E1224" t="s">
        <v>279</v>
      </c>
      <c r="F1224" t="s">
        <v>79</v>
      </c>
      <c r="G1224" t="s">
        <v>2135</v>
      </c>
      <c r="H1224" t="str">
        <f>"201510003950"</f>
        <v>201510003950</v>
      </c>
      <c r="I1224">
        <v>806.3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30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Y1224">
        <v>0</v>
      </c>
      <c r="Z1224">
        <v>836.3</v>
      </c>
    </row>
    <row r="1225" spans="1:26" x14ac:dyDescent="0.25">
      <c r="H1225" t="s">
        <v>2136</v>
      </c>
    </row>
    <row r="1226" spans="1:26" x14ac:dyDescent="0.25">
      <c r="A1226">
        <v>610</v>
      </c>
      <c r="C1226">
        <v>191</v>
      </c>
      <c r="D1226" t="s">
        <v>1778</v>
      </c>
      <c r="E1226" t="s">
        <v>1936</v>
      </c>
      <c r="F1226" t="s">
        <v>16</v>
      </c>
      <c r="G1226" t="s">
        <v>2137</v>
      </c>
      <c r="H1226" t="str">
        <f>"201409004383"</f>
        <v>201409004383</v>
      </c>
      <c r="I1226">
        <v>806.3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30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Y1226">
        <v>0</v>
      </c>
      <c r="Z1226">
        <v>836.3</v>
      </c>
    </row>
    <row r="1227" spans="1:26" x14ac:dyDescent="0.25">
      <c r="H1227" t="s">
        <v>2138</v>
      </c>
    </row>
    <row r="1228" spans="1:26" x14ac:dyDescent="0.25">
      <c r="A1228">
        <v>611</v>
      </c>
      <c r="C1228">
        <v>8151</v>
      </c>
      <c r="D1228" t="s">
        <v>2139</v>
      </c>
      <c r="E1228" t="s">
        <v>164</v>
      </c>
      <c r="F1228" t="s">
        <v>122</v>
      </c>
      <c r="G1228" t="s">
        <v>2140</v>
      </c>
      <c r="H1228" t="str">
        <f>"201511023039"</f>
        <v>201511023039</v>
      </c>
      <c r="I1228">
        <v>806.3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30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Y1228">
        <v>0</v>
      </c>
      <c r="Z1228">
        <v>836.3</v>
      </c>
    </row>
    <row r="1229" spans="1:26" x14ac:dyDescent="0.25">
      <c r="H1229" t="s">
        <v>2141</v>
      </c>
    </row>
    <row r="1230" spans="1:26" x14ac:dyDescent="0.25">
      <c r="A1230">
        <v>612</v>
      </c>
      <c r="C1230">
        <v>16283</v>
      </c>
      <c r="D1230" t="s">
        <v>2142</v>
      </c>
      <c r="E1230" t="s">
        <v>965</v>
      </c>
      <c r="F1230" t="s">
        <v>194</v>
      </c>
      <c r="G1230" t="s">
        <v>2143</v>
      </c>
      <c r="H1230" t="str">
        <f>"00026934"</f>
        <v>00026934</v>
      </c>
      <c r="I1230">
        <v>806.3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30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Y1230">
        <v>0</v>
      </c>
      <c r="Z1230">
        <v>836.3</v>
      </c>
    </row>
    <row r="1231" spans="1:26" x14ac:dyDescent="0.25">
      <c r="H1231" t="s">
        <v>2144</v>
      </c>
    </row>
    <row r="1232" spans="1:26" x14ac:dyDescent="0.25">
      <c r="A1232">
        <v>613</v>
      </c>
      <c r="C1232">
        <v>10566</v>
      </c>
      <c r="D1232" t="s">
        <v>2145</v>
      </c>
      <c r="E1232" t="s">
        <v>208</v>
      </c>
      <c r="F1232" t="s">
        <v>73</v>
      </c>
      <c r="G1232" t="s">
        <v>2146</v>
      </c>
      <c r="H1232" t="str">
        <f>"201511008070"</f>
        <v>201511008070</v>
      </c>
      <c r="I1232">
        <v>836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Y1232">
        <v>0</v>
      </c>
      <c r="Z1232">
        <v>836</v>
      </c>
    </row>
    <row r="1233" spans="1:26" x14ac:dyDescent="0.25">
      <c r="H1233" t="s">
        <v>2147</v>
      </c>
    </row>
    <row r="1234" spans="1:26" x14ac:dyDescent="0.25">
      <c r="A1234">
        <v>614</v>
      </c>
      <c r="C1234">
        <v>889</v>
      </c>
      <c r="D1234" t="s">
        <v>2148</v>
      </c>
      <c r="E1234" t="s">
        <v>235</v>
      </c>
      <c r="F1234" t="s">
        <v>90</v>
      </c>
      <c r="G1234" t="s">
        <v>2149</v>
      </c>
      <c r="H1234" t="str">
        <f>"201510002553"</f>
        <v>201510002553</v>
      </c>
      <c r="I1234">
        <v>836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  <c r="Y1234">
        <v>0</v>
      </c>
      <c r="Z1234">
        <v>836</v>
      </c>
    </row>
    <row r="1235" spans="1:26" x14ac:dyDescent="0.25">
      <c r="H1235" t="s">
        <v>2150</v>
      </c>
    </row>
    <row r="1236" spans="1:26" x14ac:dyDescent="0.25">
      <c r="A1236">
        <v>615</v>
      </c>
      <c r="C1236">
        <v>11380</v>
      </c>
      <c r="D1236" t="s">
        <v>2151</v>
      </c>
      <c r="E1236" t="s">
        <v>634</v>
      </c>
      <c r="F1236" t="s">
        <v>16</v>
      </c>
      <c r="G1236" t="s">
        <v>2152</v>
      </c>
      <c r="H1236" t="str">
        <f>"00053939"</f>
        <v>00053939</v>
      </c>
      <c r="I1236">
        <v>805.2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30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Y1236">
        <v>0</v>
      </c>
      <c r="Z1236">
        <v>835.2</v>
      </c>
    </row>
    <row r="1237" spans="1:26" x14ac:dyDescent="0.25">
      <c r="H1237" t="s">
        <v>2153</v>
      </c>
    </row>
    <row r="1238" spans="1:26" x14ac:dyDescent="0.25">
      <c r="A1238">
        <v>616</v>
      </c>
      <c r="C1238">
        <v>8883</v>
      </c>
      <c r="D1238" t="s">
        <v>2154</v>
      </c>
      <c r="E1238" t="s">
        <v>73</v>
      </c>
      <c r="F1238" t="s">
        <v>103</v>
      </c>
      <c r="G1238" t="s">
        <v>2155</v>
      </c>
      <c r="H1238" t="str">
        <f>"00501078"</f>
        <v>00501078</v>
      </c>
      <c r="I1238">
        <v>805.2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30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Y1238">
        <v>0</v>
      </c>
      <c r="Z1238">
        <v>835.2</v>
      </c>
    </row>
    <row r="1239" spans="1:26" x14ac:dyDescent="0.25">
      <c r="H1239" t="s">
        <v>2156</v>
      </c>
    </row>
    <row r="1240" spans="1:26" x14ac:dyDescent="0.25">
      <c r="A1240">
        <v>617</v>
      </c>
      <c r="C1240">
        <v>5429</v>
      </c>
      <c r="D1240" t="s">
        <v>2157</v>
      </c>
      <c r="E1240" t="s">
        <v>2158</v>
      </c>
      <c r="F1240" t="s">
        <v>51</v>
      </c>
      <c r="G1240" t="s">
        <v>2159</v>
      </c>
      <c r="H1240" t="str">
        <f>"201511022650"</f>
        <v>201511022650</v>
      </c>
      <c r="I1240">
        <v>834.9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Y1240">
        <v>0</v>
      </c>
      <c r="Z1240">
        <v>834.9</v>
      </c>
    </row>
    <row r="1241" spans="1:26" x14ac:dyDescent="0.25">
      <c r="H1241" t="s">
        <v>2160</v>
      </c>
    </row>
    <row r="1242" spans="1:26" x14ac:dyDescent="0.25">
      <c r="A1242">
        <v>618</v>
      </c>
      <c r="C1242">
        <v>5505</v>
      </c>
      <c r="D1242" t="s">
        <v>2161</v>
      </c>
      <c r="E1242" t="s">
        <v>1435</v>
      </c>
      <c r="F1242" t="s">
        <v>103</v>
      </c>
      <c r="G1242" t="s">
        <v>2162</v>
      </c>
      <c r="H1242" t="str">
        <f>"201007000124"</f>
        <v>201007000124</v>
      </c>
      <c r="I1242">
        <v>834.9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Y1242">
        <v>0</v>
      </c>
      <c r="Z1242">
        <v>834.9</v>
      </c>
    </row>
    <row r="1243" spans="1:26" x14ac:dyDescent="0.25">
      <c r="H1243" t="s">
        <v>2163</v>
      </c>
    </row>
    <row r="1244" spans="1:26" x14ac:dyDescent="0.25">
      <c r="A1244">
        <v>619</v>
      </c>
      <c r="C1244">
        <v>8662</v>
      </c>
      <c r="D1244" t="s">
        <v>2164</v>
      </c>
      <c r="E1244" t="s">
        <v>164</v>
      </c>
      <c r="F1244" t="s">
        <v>126</v>
      </c>
      <c r="G1244" t="s">
        <v>2165</v>
      </c>
      <c r="H1244" t="str">
        <f>"00738857"</f>
        <v>00738857</v>
      </c>
      <c r="I1244">
        <v>734.8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70</v>
      </c>
      <c r="P1244">
        <v>30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Y1244">
        <v>0</v>
      </c>
      <c r="Z1244">
        <v>834.8</v>
      </c>
    </row>
    <row r="1245" spans="1:26" x14ac:dyDescent="0.25">
      <c r="H1245" t="s">
        <v>2166</v>
      </c>
    </row>
    <row r="1246" spans="1:26" x14ac:dyDescent="0.25">
      <c r="A1246">
        <v>620</v>
      </c>
      <c r="C1246">
        <v>17247</v>
      </c>
      <c r="D1246" t="s">
        <v>2167</v>
      </c>
      <c r="E1246" t="s">
        <v>2168</v>
      </c>
      <c r="F1246" t="s">
        <v>51</v>
      </c>
      <c r="G1246" t="s">
        <v>2169</v>
      </c>
      <c r="H1246" t="str">
        <f>"00520160"</f>
        <v>00520160</v>
      </c>
      <c r="I1246">
        <v>764.5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70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Y1246">
        <v>0</v>
      </c>
      <c r="Z1246">
        <v>834.5</v>
      </c>
    </row>
    <row r="1247" spans="1:26" x14ac:dyDescent="0.25">
      <c r="H1247" t="s">
        <v>2170</v>
      </c>
    </row>
    <row r="1248" spans="1:26" x14ac:dyDescent="0.25">
      <c r="A1248">
        <v>621</v>
      </c>
      <c r="C1248">
        <v>12086</v>
      </c>
      <c r="D1248" t="s">
        <v>2171</v>
      </c>
      <c r="E1248" t="s">
        <v>84</v>
      </c>
      <c r="F1248" t="s">
        <v>90</v>
      </c>
      <c r="G1248" t="s">
        <v>2172</v>
      </c>
      <c r="H1248" t="str">
        <f>"201511017411"</f>
        <v>201511017411</v>
      </c>
      <c r="I1248">
        <v>774.4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30</v>
      </c>
      <c r="P1248">
        <v>30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Y1248">
        <v>0</v>
      </c>
      <c r="Z1248">
        <v>834.4</v>
      </c>
    </row>
    <row r="1249" spans="1:26" x14ac:dyDescent="0.25">
      <c r="H1249" t="s">
        <v>2173</v>
      </c>
    </row>
    <row r="1250" spans="1:26" x14ac:dyDescent="0.25">
      <c r="A1250">
        <v>622</v>
      </c>
      <c r="C1250">
        <v>7029</v>
      </c>
      <c r="D1250" t="s">
        <v>2174</v>
      </c>
      <c r="E1250" t="s">
        <v>2175</v>
      </c>
      <c r="F1250" t="s">
        <v>51</v>
      </c>
      <c r="G1250" t="s">
        <v>2176</v>
      </c>
      <c r="H1250" t="str">
        <f>"201511029720"</f>
        <v>201511029720</v>
      </c>
      <c r="I1250">
        <v>804.1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30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Y1250">
        <v>0</v>
      </c>
      <c r="Z1250">
        <v>834.1</v>
      </c>
    </row>
    <row r="1251" spans="1:26" x14ac:dyDescent="0.25">
      <c r="H1251" t="s">
        <v>2177</v>
      </c>
    </row>
    <row r="1252" spans="1:26" x14ac:dyDescent="0.25">
      <c r="A1252">
        <v>623</v>
      </c>
      <c r="C1252">
        <v>12456</v>
      </c>
      <c r="D1252" t="s">
        <v>2178</v>
      </c>
      <c r="E1252" t="s">
        <v>842</v>
      </c>
      <c r="F1252" t="s">
        <v>45</v>
      </c>
      <c r="G1252" t="s">
        <v>2179</v>
      </c>
      <c r="H1252" t="str">
        <f>"201510004617"</f>
        <v>201510004617</v>
      </c>
      <c r="I1252">
        <v>804.1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30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Y1252">
        <v>0</v>
      </c>
      <c r="Z1252">
        <v>834.1</v>
      </c>
    </row>
    <row r="1253" spans="1:26" x14ac:dyDescent="0.25">
      <c r="H1253" t="s">
        <v>2180</v>
      </c>
    </row>
    <row r="1254" spans="1:26" x14ac:dyDescent="0.25">
      <c r="A1254">
        <v>624</v>
      </c>
      <c r="C1254">
        <v>2015</v>
      </c>
      <c r="D1254" t="s">
        <v>2181</v>
      </c>
      <c r="E1254" t="s">
        <v>208</v>
      </c>
      <c r="F1254" t="s">
        <v>90</v>
      </c>
      <c r="G1254" t="s">
        <v>2182</v>
      </c>
      <c r="H1254" t="str">
        <f>"201511016548"</f>
        <v>201511016548</v>
      </c>
      <c r="I1254">
        <v>804.1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30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Y1254">
        <v>0</v>
      </c>
      <c r="Z1254">
        <v>834.1</v>
      </c>
    </row>
    <row r="1255" spans="1:26" x14ac:dyDescent="0.25">
      <c r="H1255" t="s">
        <v>2183</v>
      </c>
    </row>
    <row r="1256" spans="1:26" x14ac:dyDescent="0.25">
      <c r="A1256">
        <v>625</v>
      </c>
      <c r="C1256">
        <v>5948</v>
      </c>
      <c r="D1256" t="s">
        <v>2184</v>
      </c>
      <c r="E1256" t="s">
        <v>182</v>
      </c>
      <c r="F1256" t="s">
        <v>138</v>
      </c>
      <c r="G1256" t="s">
        <v>2185</v>
      </c>
      <c r="H1256" t="str">
        <f>"00030407"</f>
        <v>00030407</v>
      </c>
      <c r="I1256">
        <v>804.1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30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Y1256">
        <v>1</v>
      </c>
      <c r="Z1256">
        <v>834.1</v>
      </c>
    </row>
    <row r="1257" spans="1:26" x14ac:dyDescent="0.25">
      <c r="H1257" t="s">
        <v>2186</v>
      </c>
    </row>
    <row r="1258" spans="1:26" x14ac:dyDescent="0.25">
      <c r="A1258">
        <v>626</v>
      </c>
      <c r="C1258">
        <v>13193</v>
      </c>
      <c r="D1258" t="s">
        <v>2187</v>
      </c>
      <c r="E1258" t="s">
        <v>634</v>
      </c>
      <c r="F1258" t="s">
        <v>84</v>
      </c>
      <c r="G1258" t="s">
        <v>2188</v>
      </c>
      <c r="H1258" t="str">
        <f>"00491892"</f>
        <v>00491892</v>
      </c>
      <c r="I1258">
        <v>804.1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30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Y1258">
        <v>1</v>
      </c>
      <c r="Z1258">
        <v>834.1</v>
      </c>
    </row>
    <row r="1259" spans="1:26" x14ac:dyDescent="0.25">
      <c r="H1259" t="s">
        <v>2189</v>
      </c>
    </row>
    <row r="1260" spans="1:26" x14ac:dyDescent="0.25">
      <c r="A1260">
        <v>627</v>
      </c>
      <c r="C1260">
        <v>3934</v>
      </c>
      <c r="D1260" t="s">
        <v>2190</v>
      </c>
      <c r="E1260" t="s">
        <v>284</v>
      </c>
      <c r="F1260" t="s">
        <v>194</v>
      </c>
      <c r="G1260" t="s">
        <v>2191</v>
      </c>
      <c r="H1260" t="str">
        <f>"201510004642"</f>
        <v>201510004642</v>
      </c>
      <c r="I1260">
        <v>833.8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Y1260">
        <v>0</v>
      </c>
      <c r="Z1260">
        <v>833.8</v>
      </c>
    </row>
    <row r="1261" spans="1:26" x14ac:dyDescent="0.25">
      <c r="H1261" t="s">
        <v>2192</v>
      </c>
    </row>
    <row r="1262" spans="1:26" x14ac:dyDescent="0.25">
      <c r="A1262">
        <v>628</v>
      </c>
      <c r="C1262">
        <v>1138</v>
      </c>
      <c r="D1262" t="s">
        <v>2193</v>
      </c>
      <c r="E1262" t="s">
        <v>2194</v>
      </c>
      <c r="F1262" t="s">
        <v>2195</v>
      </c>
      <c r="G1262" t="s">
        <v>2196</v>
      </c>
      <c r="H1262" t="str">
        <f>"00722755"</f>
        <v>00722755</v>
      </c>
      <c r="I1262">
        <v>763.4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70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Y1262">
        <v>0</v>
      </c>
      <c r="Z1262">
        <v>833.4</v>
      </c>
    </row>
    <row r="1263" spans="1:26" x14ac:dyDescent="0.25">
      <c r="H1263" t="s">
        <v>2197</v>
      </c>
    </row>
    <row r="1264" spans="1:26" x14ac:dyDescent="0.25">
      <c r="A1264">
        <v>629</v>
      </c>
      <c r="C1264">
        <v>8129</v>
      </c>
      <c r="D1264" t="s">
        <v>2198</v>
      </c>
      <c r="E1264" t="s">
        <v>90</v>
      </c>
      <c r="F1264" t="s">
        <v>39</v>
      </c>
      <c r="G1264" t="s">
        <v>2199</v>
      </c>
      <c r="H1264" t="str">
        <f>"201511041888"</f>
        <v>201511041888</v>
      </c>
      <c r="I1264">
        <v>803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30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Y1264">
        <v>0</v>
      </c>
      <c r="Z1264">
        <v>833</v>
      </c>
    </row>
    <row r="1265" spans="1:26" x14ac:dyDescent="0.25">
      <c r="H1265" t="s">
        <v>2200</v>
      </c>
    </row>
    <row r="1266" spans="1:26" x14ac:dyDescent="0.25">
      <c r="A1266">
        <v>630</v>
      </c>
      <c r="C1266">
        <v>6762</v>
      </c>
      <c r="D1266" t="s">
        <v>436</v>
      </c>
      <c r="E1266" t="s">
        <v>2201</v>
      </c>
      <c r="F1266" t="s">
        <v>73</v>
      </c>
      <c r="G1266" t="s">
        <v>2202</v>
      </c>
      <c r="H1266" t="str">
        <f>"201510003728"</f>
        <v>201510003728</v>
      </c>
      <c r="I1266">
        <v>803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30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Y1266">
        <v>0</v>
      </c>
      <c r="Z1266">
        <v>833</v>
      </c>
    </row>
    <row r="1267" spans="1:26" x14ac:dyDescent="0.25">
      <c r="H1267" t="s">
        <v>2203</v>
      </c>
    </row>
    <row r="1268" spans="1:26" x14ac:dyDescent="0.25">
      <c r="A1268">
        <v>631</v>
      </c>
      <c r="C1268">
        <v>7418</v>
      </c>
      <c r="D1268" t="s">
        <v>984</v>
      </c>
      <c r="E1268" t="s">
        <v>15</v>
      </c>
      <c r="F1268" t="s">
        <v>39</v>
      </c>
      <c r="G1268" t="s">
        <v>2204</v>
      </c>
      <c r="H1268" t="str">
        <f>"201511040238"</f>
        <v>201511040238</v>
      </c>
      <c r="I1268">
        <v>803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30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Y1268">
        <v>1</v>
      </c>
      <c r="Z1268">
        <v>833</v>
      </c>
    </row>
    <row r="1269" spans="1:26" x14ac:dyDescent="0.25">
      <c r="H1269" t="s">
        <v>2205</v>
      </c>
    </row>
    <row r="1270" spans="1:26" x14ac:dyDescent="0.25">
      <c r="A1270">
        <v>632</v>
      </c>
      <c r="C1270">
        <v>7001</v>
      </c>
      <c r="D1270" t="s">
        <v>2206</v>
      </c>
      <c r="E1270" t="s">
        <v>112</v>
      </c>
      <c r="F1270" t="s">
        <v>39</v>
      </c>
      <c r="G1270" t="s">
        <v>2207</v>
      </c>
      <c r="H1270" t="str">
        <f>"00492436"</f>
        <v>00492436</v>
      </c>
      <c r="I1270">
        <v>803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30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Y1270">
        <v>0</v>
      </c>
      <c r="Z1270">
        <v>833</v>
      </c>
    </row>
    <row r="1271" spans="1:26" x14ac:dyDescent="0.25">
      <c r="H1271" t="s">
        <v>2208</v>
      </c>
    </row>
    <row r="1272" spans="1:26" x14ac:dyDescent="0.25">
      <c r="A1272">
        <v>633</v>
      </c>
      <c r="C1272">
        <v>14250</v>
      </c>
      <c r="D1272" t="s">
        <v>1639</v>
      </c>
      <c r="E1272" t="s">
        <v>284</v>
      </c>
      <c r="F1272" t="s">
        <v>73</v>
      </c>
      <c r="G1272" t="s">
        <v>2209</v>
      </c>
      <c r="H1272" t="str">
        <f>"00005485"</f>
        <v>00005485</v>
      </c>
      <c r="I1272">
        <v>803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30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Y1272">
        <v>1</v>
      </c>
      <c r="Z1272">
        <v>833</v>
      </c>
    </row>
    <row r="1273" spans="1:26" x14ac:dyDescent="0.25">
      <c r="H1273" t="s">
        <v>2210</v>
      </c>
    </row>
    <row r="1274" spans="1:26" x14ac:dyDescent="0.25">
      <c r="A1274">
        <v>634</v>
      </c>
      <c r="C1274">
        <v>7993</v>
      </c>
      <c r="D1274" t="s">
        <v>2211</v>
      </c>
      <c r="E1274" t="s">
        <v>2212</v>
      </c>
      <c r="F1274" t="s">
        <v>2213</v>
      </c>
      <c r="G1274" t="s">
        <v>2214</v>
      </c>
      <c r="H1274" t="str">
        <f>"00030155"</f>
        <v>00030155</v>
      </c>
      <c r="I1274">
        <v>803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30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Y1274">
        <v>1</v>
      </c>
      <c r="Z1274">
        <v>833</v>
      </c>
    </row>
    <row r="1275" spans="1:26" x14ac:dyDescent="0.25">
      <c r="H1275" t="s">
        <v>2215</v>
      </c>
    </row>
    <row r="1276" spans="1:26" x14ac:dyDescent="0.25">
      <c r="A1276">
        <v>635</v>
      </c>
      <c r="C1276">
        <v>16543</v>
      </c>
      <c r="D1276" t="s">
        <v>2216</v>
      </c>
      <c r="E1276" t="s">
        <v>2217</v>
      </c>
      <c r="F1276" t="s">
        <v>634</v>
      </c>
      <c r="G1276" t="s">
        <v>2218</v>
      </c>
      <c r="H1276" t="str">
        <f>"00672794"</f>
        <v>00672794</v>
      </c>
      <c r="I1276">
        <v>803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30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Y1276">
        <v>0</v>
      </c>
      <c r="Z1276">
        <v>833</v>
      </c>
    </row>
    <row r="1277" spans="1:26" x14ac:dyDescent="0.25">
      <c r="H1277" t="s">
        <v>2219</v>
      </c>
    </row>
    <row r="1278" spans="1:26" x14ac:dyDescent="0.25">
      <c r="A1278">
        <v>636</v>
      </c>
      <c r="C1278">
        <v>10052</v>
      </c>
      <c r="D1278" t="s">
        <v>2220</v>
      </c>
      <c r="E1278" t="s">
        <v>138</v>
      </c>
      <c r="F1278" t="s">
        <v>84</v>
      </c>
      <c r="G1278" t="s">
        <v>2221</v>
      </c>
      <c r="H1278" t="str">
        <f>"00020732"</f>
        <v>00020732</v>
      </c>
      <c r="I1278">
        <v>801.9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30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Y1278">
        <v>0</v>
      </c>
      <c r="Z1278">
        <v>831.9</v>
      </c>
    </row>
    <row r="1279" spans="1:26" x14ac:dyDescent="0.25">
      <c r="H1279" t="s">
        <v>2222</v>
      </c>
    </row>
    <row r="1280" spans="1:26" x14ac:dyDescent="0.25">
      <c r="A1280">
        <v>637</v>
      </c>
      <c r="C1280">
        <v>9712</v>
      </c>
      <c r="D1280" t="s">
        <v>88</v>
      </c>
      <c r="E1280" t="s">
        <v>264</v>
      </c>
      <c r="F1280" t="s">
        <v>73</v>
      </c>
      <c r="G1280" t="s">
        <v>2223</v>
      </c>
      <c r="H1280" t="str">
        <f>"00041367"</f>
        <v>00041367</v>
      </c>
      <c r="I1280">
        <v>801.9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30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Y1280">
        <v>0</v>
      </c>
      <c r="Z1280">
        <v>831.9</v>
      </c>
    </row>
    <row r="1281" spans="1:26" x14ac:dyDescent="0.25">
      <c r="H1281" t="s">
        <v>2224</v>
      </c>
    </row>
    <row r="1282" spans="1:26" x14ac:dyDescent="0.25">
      <c r="A1282">
        <v>638</v>
      </c>
      <c r="C1282">
        <v>9122</v>
      </c>
      <c r="D1282" t="s">
        <v>2225</v>
      </c>
      <c r="E1282" t="s">
        <v>953</v>
      </c>
      <c r="F1282" t="s">
        <v>73</v>
      </c>
      <c r="G1282" t="s">
        <v>2226</v>
      </c>
      <c r="H1282" t="str">
        <f>"201511039809"</f>
        <v>201511039809</v>
      </c>
      <c r="I1282">
        <v>801.9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30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Y1282">
        <v>0</v>
      </c>
      <c r="Z1282">
        <v>831.9</v>
      </c>
    </row>
    <row r="1283" spans="1:26" x14ac:dyDescent="0.25">
      <c r="H1283" t="s">
        <v>2227</v>
      </c>
    </row>
    <row r="1284" spans="1:26" x14ac:dyDescent="0.25">
      <c r="A1284">
        <v>639</v>
      </c>
      <c r="C1284">
        <v>14924</v>
      </c>
      <c r="D1284" t="s">
        <v>2228</v>
      </c>
      <c r="E1284" t="s">
        <v>415</v>
      </c>
      <c r="F1284" t="s">
        <v>194</v>
      </c>
      <c r="G1284" t="s">
        <v>2229</v>
      </c>
      <c r="H1284" t="str">
        <f>"201511018485"</f>
        <v>201511018485</v>
      </c>
      <c r="I1284">
        <v>801.9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30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Y1284">
        <v>0</v>
      </c>
      <c r="Z1284">
        <v>831.9</v>
      </c>
    </row>
    <row r="1285" spans="1:26" x14ac:dyDescent="0.25">
      <c r="H1285" t="s">
        <v>2230</v>
      </c>
    </row>
    <row r="1286" spans="1:26" x14ac:dyDescent="0.25">
      <c r="A1286">
        <v>640</v>
      </c>
      <c r="C1286">
        <v>10244</v>
      </c>
      <c r="D1286" t="s">
        <v>2231</v>
      </c>
      <c r="E1286" t="s">
        <v>2232</v>
      </c>
      <c r="F1286" t="s">
        <v>2233</v>
      </c>
      <c r="G1286" t="s">
        <v>2234</v>
      </c>
      <c r="H1286" t="str">
        <f>"00550802"</f>
        <v>00550802</v>
      </c>
      <c r="I1286">
        <v>801.9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30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Y1286">
        <v>0</v>
      </c>
      <c r="Z1286">
        <v>831.9</v>
      </c>
    </row>
    <row r="1287" spans="1:26" x14ac:dyDescent="0.25">
      <c r="H1287" t="s">
        <v>2235</v>
      </c>
    </row>
    <row r="1288" spans="1:26" x14ac:dyDescent="0.25">
      <c r="A1288">
        <v>641</v>
      </c>
      <c r="C1288">
        <v>13633</v>
      </c>
      <c r="D1288" t="s">
        <v>2236</v>
      </c>
      <c r="E1288" t="s">
        <v>2237</v>
      </c>
      <c r="F1288" t="s">
        <v>2088</v>
      </c>
      <c r="G1288" t="s">
        <v>2238</v>
      </c>
      <c r="H1288" t="str">
        <f>"00462665"</f>
        <v>00462665</v>
      </c>
      <c r="I1288">
        <v>801.9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30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Y1288">
        <v>0</v>
      </c>
      <c r="Z1288">
        <v>831.9</v>
      </c>
    </row>
    <row r="1289" spans="1:26" x14ac:dyDescent="0.25">
      <c r="H1289" t="s">
        <v>2239</v>
      </c>
    </row>
    <row r="1290" spans="1:26" x14ac:dyDescent="0.25">
      <c r="A1290">
        <v>642</v>
      </c>
      <c r="C1290">
        <v>9207</v>
      </c>
      <c r="D1290" t="s">
        <v>2240</v>
      </c>
      <c r="E1290" t="s">
        <v>89</v>
      </c>
      <c r="F1290" t="s">
        <v>103</v>
      </c>
      <c r="G1290" t="s">
        <v>2241</v>
      </c>
      <c r="H1290" t="str">
        <f>"201511021899"</f>
        <v>201511021899</v>
      </c>
      <c r="I1290">
        <v>831.6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Y1290">
        <v>0</v>
      </c>
      <c r="Z1290">
        <v>831.6</v>
      </c>
    </row>
    <row r="1291" spans="1:26" x14ac:dyDescent="0.25">
      <c r="H1291" t="s">
        <v>2242</v>
      </c>
    </row>
    <row r="1292" spans="1:26" x14ac:dyDescent="0.25">
      <c r="A1292">
        <v>643</v>
      </c>
      <c r="C1292">
        <v>11108</v>
      </c>
      <c r="D1292" t="s">
        <v>2243</v>
      </c>
      <c r="E1292" t="s">
        <v>113</v>
      </c>
      <c r="F1292" t="s">
        <v>133</v>
      </c>
      <c r="G1292" t="s">
        <v>2244</v>
      </c>
      <c r="H1292" t="str">
        <f>"00523072"</f>
        <v>00523072</v>
      </c>
      <c r="I1292">
        <v>831.6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Y1292">
        <v>0</v>
      </c>
      <c r="Z1292">
        <v>831.6</v>
      </c>
    </row>
    <row r="1293" spans="1:26" x14ac:dyDescent="0.25">
      <c r="H1293" t="s">
        <v>2245</v>
      </c>
    </row>
    <row r="1294" spans="1:26" x14ac:dyDescent="0.25">
      <c r="A1294">
        <v>644</v>
      </c>
      <c r="C1294">
        <v>15377</v>
      </c>
      <c r="D1294" t="s">
        <v>2246</v>
      </c>
      <c r="E1294" t="s">
        <v>2247</v>
      </c>
      <c r="F1294" t="s">
        <v>78</v>
      </c>
      <c r="G1294" t="s">
        <v>2248</v>
      </c>
      <c r="H1294" t="str">
        <f>"00493118"</f>
        <v>00493118</v>
      </c>
      <c r="I1294">
        <v>831.6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Y1294">
        <v>1</v>
      </c>
      <c r="Z1294">
        <v>831.6</v>
      </c>
    </row>
    <row r="1295" spans="1:26" x14ac:dyDescent="0.25">
      <c r="H1295" t="s">
        <v>2249</v>
      </c>
    </row>
    <row r="1296" spans="1:26" x14ac:dyDescent="0.25">
      <c r="A1296">
        <v>645</v>
      </c>
      <c r="C1296">
        <v>1107</v>
      </c>
      <c r="D1296" t="s">
        <v>20</v>
      </c>
      <c r="E1296" t="s">
        <v>1242</v>
      </c>
      <c r="F1296" t="s">
        <v>567</v>
      </c>
      <c r="G1296" t="s">
        <v>2250</v>
      </c>
      <c r="H1296" t="str">
        <f>"00724467"</f>
        <v>00724467</v>
      </c>
      <c r="I1296">
        <v>831.6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Y1296">
        <v>0</v>
      </c>
      <c r="Z1296">
        <v>831.6</v>
      </c>
    </row>
    <row r="1297" spans="1:26" x14ac:dyDescent="0.25">
      <c r="H1297" t="s">
        <v>2251</v>
      </c>
    </row>
    <row r="1298" spans="1:26" x14ac:dyDescent="0.25">
      <c r="A1298">
        <v>646</v>
      </c>
      <c r="C1298">
        <v>9719</v>
      </c>
      <c r="D1298" t="s">
        <v>2252</v>
      </c>
      <c r="E1298" t="s">
        <v>1636</v>
      </c>
      <c r="F1298" t="s">
        <v>148</v>
      </c>
      <c r="G1298" t="s">
        <v>2253</v>
      </c>
      <c r="H1298" t="str">
        <f>"201511027736"</f>
        <v>201511027736</v>
      </c>
      <c r="I1298">
        <v>800.8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30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Y1298">
        <v>0</v>
      </c>
      <c r="Z1298">
        <v>830.8</v>
      </c>
    </row>
    <row r="1299" spans="1:26" x14ac:dyDescent="0.25">
      <c r="H1299" t="s">
        <v>2254</v>
      </c>
    </row>
    <row r="1300" spans="1:26" x14ac:dyDescent="0.25">
      <c r="A1300">
        <v>647</v>
      </c>
      <c r="C1300">
        <v>8140</v>
      </c>
      <c r="D1300" t="s">
        <v>2255</v>
      </c>
      <c r="E1300" t="s">
        <v>208</v>
      </c>
      <c r="F1300" t="s">
        <v>39</v>
      </c>
      <c r="G1300" t="s">
        <v>2256</v>
      </c>
      <c r="H1300" t="str">
        <f>"201510005050"</f>
        <v>201510005050</v>
      </c>
      <c r="I1300">
        <v>800.8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30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Y1300">
        <v>0</v>
      </c>
      <c r="Z1300">
        <v>830.8</v>
      </c>
    </row>
    <row r="1301" spans="1:26" x14ac:dyDescent="0.25">
      <c r="H1301" t="s">
        <v>2257</v>
      </c>
    </row>
    <row r="1302" spans="1:26" x14ac:dyDescent="0.25">
      <c r="A1302">
        <v>648</v>
      </c>
      <c r="C1302">
        <v>2332</v>
      </c>
      <c r="D1302" t="s">
        <v>2258</v>
      </c>
      <c r="E1302" t="s">
        <v>79</v>
      </c>
      <c r="F1302" t="s">
        <v>90</v>
      </c>
      <c r="G1302" t="s">
        <v>2259</v>
      </c>
      <c r="H1302" t="str">
        <f>"201511028955"</f>
        <v>201511028955</v>
      </c>
      <c r="I1302">
        <v>800.8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Y1302">
        <v>0</v>
      </c>
      <c r="Z1302">
        <v>830.8</v>
      </c>
    </row>
    <row r="1303" spans="1:26" x14ac:dyDescent="0.25">
      <c r="H1303" t="s">
        <v>2260</v>
      </c>
    </row>
    <row r="1304" spans="1:26" x14ac:dyDescent="0.25">
      <c r="A1304">
        <v>649</v>
      </c>
      <c r="C1304">
        <v>9736</v>
      </c>
      <c r="D1304" t="s">
        <v>2261</v>
      </c>
      <c r="E1304" t="s">
        <v>2262</v>
      </c>
      <c r="F1304" t="s">
        <v>2263</v>
      </c>
      <c r="G1304" t="s">
        <v>2264</v>
      </c>
      <c r="H1304" t="str">
        <f>"00670654"</f>
        <v>00670654</v>
      </c>
      <c r="I1304">
        <v>800.8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30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Y1304">
        <v>0</v>
      </c>
      <c r="Z1304">
        <v>830.8</v>
      </c>
    </row>
    <row r="1305" spans="1:26" x14ac:dyDescent="0.25">
      <c r="H1305" t="s">
        <v>2265</v>
      </c>
    </row>
    <row r="1306" spans="1:26" x14ac:dyDescent="0.25">
      <c r="A1306">
        <v>650</v>
      </c>
      <c r="C1306">
        <v>4891</v>
      </c>
      <c r="D1306" t="s">
        <v>2266</v>
      </c>
      <c r="E1306" t="s">
        <v>1125</v>
      </c>
      <c r="F1306" t="s">
        <v>144</v>
      </c>
      <c r="G1306" t="s">
        <v>2267</v>
      </c>
      <c r="H1306" t="str">
        <f>"00039780"</f>
        <v>00039780</v>
      </c>
      <c r="I1306">
        <v>830.5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Y1306">
        <v>0</v>
      </c>
      <c r="Z1306">
        <v>830.5</v>
      </c>
    </row>
    <row r="1307" spans="1:26" x14ac:dyDescent="0.25">
      <c r="H1307" t="s">
        <v>2268</v>
      </c>
    </row>
    <row r="1308" spans="1:26" x14ac:dyDescent="0.25">
      <c r="A1308">
        <v>651</v>
      </c>
      <c r="C1308">
        <v>14422</v>
      </c>
      <c r="D1308" t="s">
        <v>2269</v>
      </c>
      <c r="E1308" t="s">
        <v>1943</v>
      </c>
      <c r="F1308" t="s">
        <v>39</v>
      </c>
      <c r="G1308" t="s">
        <v>2270</v>
      </c>
      <c r="H1308" t="str">
        <f>"201511037882"</f>
        <v>201511037882</v>
      </c>
      <c r="I1308">
        <v>830.5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Y1308">
        <v>0</v>
      </c>
      <c r="Z1308">
        <v>830.5</v>
      </c>
    </row>
    <row r="1309" spans="1:26" x14ac:dyDescent="0.25">
      <c r="H1309" t="s">
        <v>2271</v>
      </c>
    </row>
    <row r="1310" spans="1:26" x14ac:dyDescent="0.25">
      <c r="A1310">
        <v>652</v>
      </c>
      <c r="C1310">
        <v>12158</v>
      </c>
      <c r="D1310" t="s">
        <v>2272</v>
      </c>
      <c r="E1310" t="s">
        <v>170</v>
      </c>
      <c r="F1310" t="s">
        <v>842</v>
      </c>
      <c r="G1310" t="s">
        <v>2273</v>
      </c>
      <c r="H1310" t="str">
        <f>"201511031576"</f>
        <v>201511031576</v>
      </c>
      <c r="I1310">
        <v>830.5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Y1310">
        <v>0</v>
      </c>
      <c r="Z1310">
        <v>830.5</v>
      </c>
    </row>
    <row r="1311" spans="1:26" x14ac:dyDescent="0.25">
      <c r="H1311" t="s">
        <v>2274</v>
      </c>
    </row>
    <row r="1312" spans="1:26" x14ac:dyDescent="0.25">
      <c r="A1312">
        <v>653</v>
      </c>
      <c r="C1312">
        <v>11842</v>
      </c>
      <c r="D1312" t="s">
        <v>2275</v>
      </c>
      <c r="E1312" t="s">
        <v>2276</v>
      </c>
      <c r="F1312" t="s">
        <v>39</v>
      </c>
      <c r="G1312" t="s">
        <v>2277</v>
      </c>
      <c r="H1312" t="str">
        <f>"00229340"</f>
        <v>00229340</v>
      </c>
      <c r="I1312">
        <v>830.5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Y1312">
        <v>0</v>
      </c>
      <c r="Z1312">
        <v>830.5</v>
      </c>
    </row>
    <row r="1313" spans="1:26" x14ac:dyDescent="0.25">
      <c r="H1313" t="s">
        <v>2278</v>
      </c>
    </row>
    <row r="1314" spans="1:26" x14ac:dyDescent="0.25">
      <c r="A1314">
        <v>654</v>
      </c>
      <c r="C1314">
        <v>10639</v>
      </c>
      <c r="D1314" t="s">
        <v>2279</v>
      </c>
      <c r="E1314" t="s">
        <v>107</v>
      </c>
      <c r="F1314" t="s">
        <v>62</v>
      </c>
      <c r="G1314" t="s">
        <v>2280</v>
      </c>
      <c r="H1314" t="str">
        <f>"00733413"</f>
        <v>00733413</v>
      </c>
      <c r="I1314">
        <v>770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30</v>
      </c>
      <c r="P1314">
        <v>0</v>
      </c>
      <c r="Q1314">
        <v>30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Y1314">
        <v>0</v>
      </c>
      <c r="Z1314">
        <v>830</v>
      </c>
    </row>
    <row r="1315" spans="1:26" x14ac:dyDescent="0.25">
      <c r="H1315" t="s">
        <v>2281</v>
      </c>
    </row>
    <row r="1316" spans="1:26" x14ac:dyDescent="0.25">
      <c r="A1316">
        <v>655</v>
      </c>
      <c r="C1316">
        <v>6613</v>
      </c>
      <c r="D1316" t="s">
        <v>2282</v>
      </c>
      <c r="E1316" t="s">
        <v>248</v>
      </c>
      <c r="F1316" t="s">
        <v>39</v>
      </c>
      <c r="G1316" t="s">
        <v>2283</v>
      </c>
      <c r="H1316" t="str">
        <f>"00096206"</f>
        <v>00096206</v>
      </c>
      <c r="I1316">
        <v>779.9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50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Y1316">
        <v>1</v>
      </c>
      <c r="Z1316">
        <v>829.9</v>
      </c>
    </row>
    <row r="1317" spans="1:26" x14ac:dyDescent="0.25">
      <c r="H1317" t="s">
        <v>2284</v>
      </c>
    </row>
    <row r="1318" spans="1:26" x14ac:dyDescent="0.25">
      <c r="A1318">
        <v>656</v>
      </c>
      <c r="C1318">
        <v>12018</v>
      </c>
      <c r="D1318" t="s">
        <v>2285</v>
      </c>
      <c r="E1318" t="s">
        <v>395</v>
      </c>
      <c r="F1318" t="s">
        <v>51</v>
      </c>
      <c r="G1318" t="s">
        <v>2286</v>
      </c>
      <c r="H1318" t="str">
        <f>"00739665"</f>
        <v>00739665</v>
      </c>
      <c r="I1318">
        <v>799.7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30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Y1318">
        <v>0</v>
      </c>
      <c r="Z1318">
        <v>829.7</v>
      </c>
    </row>
    <row r="1319" spans="1:26" x14ac:dyDescent="0.25">
      <c r="H1319" t="s">
        <v>2287</v>
      </c>
    </row>
    <row r="1320" spans="1:26" x14ac:dyDescent="0.25">
      <c r="A1320">
        <v>657</v>
      </c>
      <c r="C1320">
        <v>2761</v>
      </c>
      <c r="D1320" t="s">
        <v>2288</v>
      </c>
      <c r="E1320" t="s">
        <v>1403</v>
      </c>
      <c r="F1320" t="s">
        <v>103</v>
      </c>
      <c r="G1320" t="s">
        <v>2289</v>
      </c>
      <c r="H1320" t="str">
        <f>"201510000978"</f>
        <v>201510000978</v>
      </c>
      <c r="I1320">
        <v>799.7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30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Y1320">
        <v>0</v>
      </c>
      <c r="Z1320">
        <v>829.7</v>
      </c>
    </row>
    <row r="1321" spans="1:26" x14ac:dyDescent="0.25">
      <c r="H1321" t="s">
        <v>2290</v>
      </c>
    </row>
    <row r="1322" spans="1:26" x14ac:dyDescent="0.25">
      <c r="A1322">
        <v>658</v>
      </c>
      <c r="C1322">
        <v>9298</v>
      </c>
      <c r="D1322" t="s">
        <v>2291</v>
      </c>
      <c r="E1322" t="s">
        <v>67</v>
      </c>
      <c r="F1322" t="s">
        <v>126</v>
      </c>
      <c r="G1322" t="s">
        <v>2292</v>
      </c>
      <c r="H1322" t="str">
        <f>"201511012401"</f>
        <v>201511012401</v>
      </c>
      <c r="I1322">
        <v>799.7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30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Y1322">
        <v>0</v>
      </c>
      <c r="Z1322">
        <v>829.7</v>
      </c>
    </row>
    <row r="1323" spans="1:26" x14ac:dyDescent="0.25">
      <c r="H1323" t="s">
        <v>2293</v>
      </c>
    </row>
    <row r="1324" spans="1:26" x14ac:dyDescent="0.25">
      <c r="A1324">
        <v>659</v>
      </c>
      <c r="C1324">
        <v>7856</v>
      </c>
      <c r="D1324" t="s">
        <v>2294</v>
      </c>
      <c r="E1324" t="s">
        <v>112</v>
      </c>
      <c r="F1324" t="s">
        <v>199</v>
      </c>
      <c r="G1324" t="s">
        <v>2295</v>
      </c>
      <c r="H1324" t="str">
        <f>"00046719"</f>
        <v>00046719</v>
      </c>
      <c r="I1324">
        <v>799.7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30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Y1324">
        <v>0</v>
      </c>
      <c r="Z1324">
        <v>829.7</v>
      </c>
    </row>
    <row r="1325" spans="1:26" x14ac:dyDescent="0.25">
      <c r="H1325" t="s">
        <v>2296</v>
      </c>
    </row>
    <row r="1326" spans="1:26" x14ac:dyDescent="0.25">
      <c r="A1326">
        <v>660</v>
      </c>
      <c r="C1326">
        <v>5436</v>
      </c>
      <c r="D1326" t="s">
        <v>2297</v>
      </c>
      <c r="E1326" t="s">
        <v>188</v>
      </c>
      <c r="F1326" t="s">
        <v>236</v>
      </c>
      <c r="G1326" t="s">
        <v>2298</v>
      </c>
      <c r="H1326" t="str">
        <f>"00225080"</f>
        <v>00225080</v>
      </c>
      <c r="I1326">
        <v>799.7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30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Y1326">
        <v>0</v>
      </c>
      <c r="Z1326">
        <v>829.7</v>
      </c>
    </row>
    <row r="1327" spans="1:26" x14ac:dyDescent="0.25">
      <c r="H1327" t="s">
        <v>2299</v>
      </c>
    </row>
    <row r="1328" spans="1:26" x14ac:dyDescent="0.25">
      <c r="A1328">
        <v>661</v>
      </c>
      <c r="C1328">
        <v>1829</v>
      </c>
      <c r="D1328" t="s">
        <v>2300</v>
      </c>
      <c r="E1328" t="s">
        <v>294</v>
      </c>
      <c r="F1328" t="s">
        <v>39</v>
      </c>
      <c r="G1328" t="s">
        <v>2301</v>
      </c>
      <c r="H1328" t="str">
        <f>"201504000949"</f>
        <v>201504000949</v>
      </c>
      <c r="I1328">
        <v>829.4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Y1328">
        <v>0</v>
      </c>
      <c r="Z1328">
        <v>829.4</v>
      </c>
    </row>
    <row r="1329" spans="1:26" x14ac:dyDescent="0.25">
      <c r="H1329" t="s">
        <v>2302</v>
      </c>
    </row>
    <row r="1330" spans="1:26" x14ac:dyDescent="0.25">
      <c r="A1330">
        <v>662</v>
      </c>
      <c r="C1330">
        <v>12816</v>
      </c>
      <c r="D1330" t="s">
        <v>2303</v>
      </c>
      <c r="E1330" t="s">
        <v>73</v>
      </c>
      <c r="F1330" t="s">
        <v>138</v>
      </c>
      <c r="G1330" t="s">
        <v>2304</v>
      </c>
      <c r="H1330" t="str">
        <f>"00541431"</f>
        <v>00541431</v>
      </c>
      <c r="I1330">
        <v>829.4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Y1330">
        <v>0</v>
      </c>
      <c r="Z1330">
        <v>829.4</v>
      </c>
    </row>
    <row r="1331" spans="1:26" x14ac:dyDescent="0.25">
      <c r="H1331" t="s">
        <v>2305</v>
      </c>
    </row>
    <row r="1332" spans="1:26" x14ac:dyDescent="0.25">
      <c r="A1332">
        <v>663</v>
      </c>
      <c r="C1332">
        <v>15545</v>
      </c>
      <c r="D1332" t="s">
        <v>2306</v>
      </c>
      <c r="E1332" t="s">
        <v>178</v>
      </c>
      <c r="F1332" t="s">
        <v>318</v>
      </c>
      <c r="G1332" t="s">
        <v>2307</v>
      </c>
      <c r="H1332" t="str">
        <f>"201511013147"</f>
        <v>201511013147</v>
      </c>
      <c r="I1332">
        <v>768.9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30</v>
      </c>
      <c r="P1332">
        <v>30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Y1332">
        <v>0</v>
      </c>
      <c r="Z1332">
        <v>828.9</v>
      </c>
    </row>
    <row r="1333" spans="1:26" x14ac:dyDescent="0.25">
      <c r="H1333" t="s">
        <v>2308</v>
      </c>
    </row>
    <row r="1334" spans="1:26" x14ac:dyDescent="0.25">
      <c r="A1334">
        <v>664</v>
      </c>
      <c r="C1334">
        <v>14731</v>
      </c>
      <c r="D1334" t="s">
        <v>2309</v>
      </c>
      <c r="E1334" t="s">
        <v>2310</v>
      </c>
      <c r="F1334" t="s">
        <v>1561</v>
      </c>
      <c r="G1334" t="s">
        <v>2311</v>
      </c>
      <c r="H1334" t="str">
        <f>"200809000957"</f>
        <v>200809000957</v>
      </c>
      <c r="I1334">
        <v>798.6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30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Y1334">
        <v>0</v>
      </c>
      <c r="Z1334">
        <v>828.6</v>
      </c>
    </row>
    <row r="1335" spans="1:26" x14ac:dyDescent="0.25">
      <c r="H1335" t="s">
        <v>2312</v>
      </c>
    </row>
    <row r="1336" spans="1:26" x14ac:dyDescent="0.25">
      <c r="A1336">
        <v>665</v>
      </c>
      <c r="C1336">
        <v>15285</v>
      </c>
      <c r="D1336" t="s">
        <v>2313</v>
      </c>
      <c r="E1336" t="s">
        <v>112</v>
      </c>
      <c r="F1336" t="s">
        <v>16</v>
      </c>
      <c r="G1336" t="s">
        <v>2314</v>
      </c>
      <c r="H1336" t="str">
        <f>"201511033037"</f>
        <v>201511033037</v>
      </c>
      <c r="I1336">
        <v>828.3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Y1336">
        <v>0</v>
      </c>
      <c r="Z1336">
        <v>828.3</v>
      </c>
    </row>
    <row r="1337" spans="1:26" x14ac:dyDescent="0.25">
      <c r="H1337" t="s">
        <v>2315</v>
      </c>
    </row>
    <row r="1338" spans="1:26" x14ac:dyDescent="0.25">
      <c r="A1338">
        <v>666</v>
      </c>
      <c r="C1338">
        <v>7613</v>
      </c>
      <c r="D1338" t="s">
        <v>2316</v>
      </c>
      <c r="E1338" t="s">
        <v>346</v>
      </c>
      <c r="F1338" t="s">
        <v>2317</v>
      </c>
      <c r="G1338" t="s">
        <v>2318</v>
      </c>
      <c r="H1338" t="str">
        <f>"201103000298"</f>
        <v>201103000298</v>
      </c>
      <c r="I1338">
        <v>828.3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Y1338">
        <v>0</v>
      </c>
      <c r="Z1338">
        <v>828.3</v>
      </c>
    </row>
    <row r="1339" spans="1:26" x14ac:dyDescent="0.25">
      <c r="H1339" t="s">
        <v>2319</v>
      </c>
    </row>
    <row r="1340" spans="1:26" x14ac:dyDescent="0.25">
      <c r="A1340">
        <v>667</v>
      </c>
      <c r="C1340">
        <v>8087</v>
      </c>
      <c r="D1340" t="s">
        <v>2320</v>
      </c>
      <c r="E1340" t="s">
        <v>2321</v>
      </c>
      <c r="F1340" t="s">
        <v>354</v>
      </c>
      <c r="G1340" t="s">
        <v>2322</v>
      </c>
      <c r="H1340" t="str">
        <f>"201510003617"</f>
        <v>201510003617</v>
      </c>
      <c r="I1340">
        <v>828.3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Y1340">
        <v>0</v>
      </c>
      <c r="Z1340">
        <v>828.3</v>
      </c>
    </row>
    <row r="1341" spans="1:26" x14ac:dyDescent="0.25">
      <c r="H1341" t="s">
        <v>2323</v>
      </c>
    </row>
    <row r="1342" spans="1:26" x14ac:dyDescent="0.25">
      <c r="A1342">
        <v>668</v>
      </c>
      <c r="C1342">
        <v>4334</v>
      </c>
      <c r="D1342" t="s">
        <v>2324</v>
      </c>
      <c r="E1342" t="s">
        <v>50</v>
      </c>
      <c r="F1342" t="s">
        <v>127</v>
      </c>
      <c r="G1342" t="s">
        <v>2325</v>
      </c>
      <c r="H1342" t="str">
        <f>"00095486"</f>
        <v>00095486</v>
      </c>
      <c r="I1342">
        <v>757.9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70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Y1342">
        <v>0</v>
      </c>
      <c r="Z1342">
        <v>827.9</v>
      </c>
    </row>
    <row r="1343" spans="1:26" x14ac:dyDescent="0.25">
      <c r="H1343" t="s">
        <v>2326</v>
      </c>
    </row>
    <row r="1344" spans="1:26" x14ac:dyDescent="0.25">
      <c r="A1344">
        <v>669</v>
      </c>
      <c r="C1344">
        <v>10143</v>
      </c>
      <c r="D1344" t="s">
        <v>2327</v>
      </c>
      <c r="E1344" t="s">
        <v>256</v>
      </c>
      <c r="F1344" t="s">
        <v>2328</v>
      </c>
      <c r="G1344" t="s">
        <v>2329</v>
      </c>
      <c r="H1344" t="str">
        <f>"201511011591"</f>
        <v>201511011591</v>
      </c>
      <c r="I1344">
        <v>797.5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30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Y1344">
        <v>0</v>
      </c>
      <c r="Z1344">
        <v>827.5</v>
      </c>
    </row>
    <row r="1345" spans="1:26" x14ac:dyDescent="0.25">
      <c r="H1345" t="s">
        <v>2330</v>
      </c>
    </row>
    <row r="1346" spans="1:26" x14ac:dyDescent="0.25">
      <c r="A1346">
        <v>670</v>
      </c>
      <c r="C1346">
        <v>7754</v>
      </c>
      <c r="D1346" t="s">
        <v>2331</v>
      </c>
      <c r="E1346" t="s">
        <v>98</v>
      </c>
      <c r="F1346" t="s">
        <v>51</v>
      </c>
      <c r="G1346" t="s">
        <v>2332</v>
      </c>
      <c r="H1346" t="str">
        <f>"201510003960"</f>
        <v>201510003960</v>
      </c>
      <c r="I1346">
        <v>827.2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Y1346">
        <v>0</v>
      </c>
      <c r="Z1346">
        <v>827.2</v>
      </c>
    </row>
    <row r="1347" spans="1:26" x14ac:dyDescent="0.25">
      <c r="H1347" t="s">
        <v>2333</v>
      </c>
    </row>
    <row r="1348" spans="1:26" x14ac:dyDescent="0.25">
      <c r="A1348">
        <v>671</v>
      </c>
      <c r="C1348">
        <v>9611</v>
      </c>
      <c r="D1348" t="s">
        <v>2334</v>
      </c>
      <c r="E1348" t="s">
        <v>687</v>
      </c>
      <c r="F1348" t="s">
        <v>2335</v>
      </c>
      <c r="G1348" t="s">
        <v>2336</v>
      </c>
      <c r="H1348" t="str">
        <f>"201511009276"</f>
        <v>201511009276</v>
      </c>
      <c r="I1348">
        <v>776.6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50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Y1348">
        <v>0</v>
      </c>
      <c r="Z1348">
        <v>826.6</v>
      </c>
    </row>
    <row r="1349" spans="1:26" x14ac:dyDescent="0.25">
      <c r="H1349" t="s">
        <v>2337</v>
      </c>
    </row>
    <row r="1350" spans="1:26" x14ac:dyDescent="0.25">
      <c r="A1350">
        <v>672</v>
      </c>
      <c r="C1350">
        <v>10413</v>
      </c>
      <c r="D1350" t="s">
        <v>2338</v>
      </c>
      <c r="E1350" t="s">
        <v>2339</v>
      </c>
      <c r="F1350" t="s">
        <v>1114</v>
      </c>
      <c r="G1350" t="s">
        <v>2340</v>
      </c>
      <c r="H1350" t="str">
        <f>"00508401"</f>
        <v>00508401</v>
      </c>
      <c r="I1350">
        <v>796.4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30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Y1350">
        <v>0</v>
      </c>
      <c r="Z1350">
        <v>826.4</v>
      </c>
    </row>
    <row r="1351" spans="1:26" x14ac:dyDescent="0.25">
      <c r="H1351" t="s">
        <v>2341</v>
      </c>
    </row>
    <row r="1352" spans="1:26" x14ac:dyDescent="0.25">
      <c r="A1352">
        <v>673</v>
      </c>
      <c r="C1352">
        <v>9801</v>
      </c>
      <c r="D1352" t="s">
        <v>2342</v>
      </c>
      <c r="E1352" t="s">
        <v>2343</v>
      </c>
      <c r="F1352" t="s">
        <v>374</v>
      </c>
      <c r="G1352" t="s">
        <v>2344</v>
      </c>
      <c r="H1352" t="str">
        <f>"201511019652"</f>
        <v>201511019652</v>
      </c>
      <c r="I1352">
        <v>796.4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30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Y1352">
        <v>0</v>
      </c>
      <c r="Z1352">
        <v>826.4</v>
      </c>
    </row>
    <row r="1353" spans="1:26" x14ac:dyDescent="0.25">
      <c r="H1353" t="s">
        <v>2345</v>
      </c>
    </row>
    <row r="1354" spans="1:26" x14ac:dyDescent="0.25">
      <c r="A1354">
        <v>674</v>
      </c>
      <c r="C1354">
        <v>3911</v>
      </c>
      <c r="D1354" t="s">
        <v>2346</v>
      </c>
      <c r="E1354" t="s">
        <v>231</v>
      </c>
      <c r="F1354" t="s">
        <v>194</v>
      </c>
      <c r="G1354" t="s">
        <v>2347</v>
      </c>
      <c r="H1354" t="str">
        <f>"00730522"</f>
        <v>00730522</v>
      </c>
      <c r="I1354">
        <v>796.4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30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Y1354">
        <v>0</v>
      </c>
      <c r="Z1354">
        <v>826.4</v>
      </c>
    </row>
    <row r="1355" spans="1:26" x14ac:dyDescent="0.25">
      <c r="H1355" t="s">
        <v>2348</v>
      </c>
    </row>
    <row r="1356" spans="1:26" x14ac:dyDescent="0.25">
      <c r="A1356">
        <v>675</v>
      </c>
      <c r="C1356">
        <v>12798</v>
      </c>
      <c r="D1356" t="s">
        <v>2349</v>
      </c>
      <c r="E1356" t="s">
        <v>2350</v>
      </c>
      <c r="F1356" t="s">
        <v>2351</v>
      </c>
      <c r="G1356" t="s">
        <v>2352</v>
      </c>
      <c r="H1356" t="str">
        <f>"00030171"</f>
        <v>00030171</v>
      </c>
      <c r="I1356">
        <v>796.4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30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Y1356">
        <v>0</v>
      </c>
      <c r="Z1356">
        <v>826.4</v>
      </c>
    </row>
    <row r="1357" spans="1:26" x14ac:dyDescent="0.25">
      <c r="H1357" t="s">
        <v>2353</v>
      </c>
    </row>
    <row r="1358" spans="1:26" x14ac:dyDescent="0.25">
      <c r="A1358">
        <v>676</v>
      </c>
      <c r="C1358">
        <v>3579</v>
      </c>
      <c r="D1358" t="s">
        <v>2354</v>
      </c>
      <c r="E1358" t="s">
        <v>2237</v>
      </c>
      <c r="F1358" t="s">
        <v>2355</v>
      </c>
      <c r="G1358" t="s">
        <v>2356</v>
      </c>
      <c r="H1358" t="str">
        <f>"00723114"</f>
        <v>00723114</v>
      </c>
      <c r="I1358">
        <v>796.4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30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Y1358">
        <v>0</v>
      </c>
      <c r="Z1358">
        <v>826.4</v>
      </c>
    </row>
    <row r="1359" spans="1:26" x14ac:dyDescent="0.25">
      <c r="H1359" t="s">
        <v>2357</v>
      </c>
    </row>
    <row r="1360" spans="1:26" x14ac:dyDescent="0.25">
      <c r="A1360">
        <v>677</v>
      </c>
      <c r="C1360">
        <v>1614</v>
      </c>
      <c r="D1360" t="s">
        <v>2358</v>
      </c>
      <c r="E1360" t="s">
        <v>264</v>
      </c>
      <c r="F1360" t="s">
        <v>84</v>
      </c>
      <c r="G1360" t="s">
        <v>2359</v>
      </c>
      <c r="H1360" t="str">
        <f>"201511023661"</f>
        <v>201511023661</v>
      </c>
      <c r="I1360">
        <v>826.1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Y1360">
        <v>0</v>
      </c>
      <c r="Z1360">
        <v>826.1</v>
      </c>
    </row>
    <row r="1361" spans="1:26" x14ac:dyDescent="0.25">
      <c r="H1361" t="s">
        <v>2360</v>
      </c>
    </row>
    <row r="1362" spans="1:26" x14ac:dyDescent="0.25">
      <c r="A1362">
        <v>678</v>
      </c>
      <c r="C1362">
        <v>5209</v>
      </c>
      <c r="D1362" t="s">
        <v>2361</v>
      </c>
      <c r="E1362" t="s">
        <v>204</v>
      </c>
      <c r="F1362" t="s">
        <v>39</v>
      </c>
      <c r="G1362" t="s">
        <v>2362</v>
      </c>
      <c r="H1362" t="str">
        <f>"201511007607"</f>
        <v>201511007607</v>
      </c>
      <c r="I1362">
        <v>826.1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Y1362">
        <v>0</v>
      </c>
      <c r="Z1362">
        <v>826.1</v>
      </c>
    </row>
    <row r="1363" spans="1:26" x14ac:dyDescent="0.25">
      <c r="H1363" t="s">
        <v>2363</v>
      </c>
    </row>
    <row r="1364" spans="1:26" x14ac:dyDescent="0.25">
      <c r="A1364">
        <v>679</v>
      </c>
      <c r="C1364">
        <v>4672</v>
      </c>
      <c r="D1364" t="s">
        <v>2364</v>
      </c>
      <c r="E1364" t="s">
        <v>902</v>
      </c>
      <c r="F1364" t="s">
        <v>342</v>
      </c>
      <c r="G1364" t="s">
        <v>2365</v>
      </c>
      <c r="H1364" t="str">
        <f>"00654873"</f>
        <v>00654873</v>
      </c>
      <c r="I1364">
        <v>826.1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Y1364">
        <v>0</v>
      </c>
      <c r="Z1364">
        <v>826.1</v>
      </c>
    </row>
    <row r="1365" spans="1:26" x14ac:dyDescent="0.25">
      <c r="H1365" t="s">
        <v>2366</v>
      </c>
    </row>
    <row r="1366" spans="1:26" x14ac:dyDescent="0.25">
      <c r="A1366">
        <v>680</v>
      </c>
      <c r="B1366" t="s">
        <v>2367</v>
      </c>
      <c r="C1366">
        <v>8345</v>
      </c>
      <c r="D1366" t="s">
        <v>2368</v>
      </c>
      <c r="E1366" t="s">
        <v>395</v>
      </c>
      <c r="F1366" t="s">
        <v>302</v>
      </c>
      <c r="G1366" t="s">
        <v>2369</v>
      </c>
      <c r="H1366" t="str">
        <f>"201511025439"</f>
        <v>201511025439</v>
      </c>
      <c r="I1366">
        <v>826.1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Y1366">
        <v>0</v>
      </c>
      <c r="Z1366">
        <v>826.1</v>
      </c>
    </row>
    <row r="1367" spans="1:26" x14ac:dyDescent="0.25">
      <c r="H1367" t="s">
        <v>2370</v>
      </c>
    </row>
    <row r="1368" spans="1:26" x14ac:dyDescent="0.25">
      <c r="A1368">
        <v>681</v>
      </c>
      <c r="C1368">
        <v>3981</v>
      </c>
      <c r="D1368" t="s">
        <v>2371</v>
      </c>
      <c r="E1368" t="s">
        <v>89</v>
      </c>
      <c r="F1368" t="s">
        <v>318</v>
      </c>
      <c r="G1368" t="s">
        <v>2372</v>
      </c>
      <c r="H1368" t="str">
        <f>"00502376"</f>
        <v>00502376</v>
      </c>
      <c r="I1368">
        <v>765.6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30</v>
      </c>
      <c r="P1368">
        <v>30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Y1368">
        <v>1</v>
      </c>
      <c r="Z1368">
        <v>825.6</v>
      </c>
    </row>
    <row r="1369" spans="1:26" x14ac:dyDescent="0.25">
      <c r="H1369" t="s">
        <v>2373</v>
      </c>
    </row>
    <row r="1370" spans="1:26" x14ac:dyDescent="0.25">
      <c r="A1370">
        <v>682</v>
      </c>
      <c r="C1370">
        <v>7187</v>
      </c>
      <c r="D1370" t="s">
        <v>2374</v>
      </c>
      <c r="E1370" t="s">
        <v>248</v>
      </c>
      <c r="F1370" t="s">
        <v>829</v>
      </c>
      <c r="G1370" t="s">
        <v>2375</v>
      </c>
      <c r="H1370" t="str">
        <f>"201510002136"</f>
        <v>201510002136</v>
      </c>
      <c r="I1370">
        <v>795.3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30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Y1370">
        <v>0</v>
      </c>
      <c r="Z1370">
        <v>825.3</v>
      </c>
    </row>
    <row r="1371" spans="1:26" x14ac:dyDescent="0.25">
      <c r="H1371" t="s">
        <v>2376</v>
      </c>
    </row>
    <row r="1372" spans="1:26" x14ac:dyDescent="0.25">
      <c r="A1372">
        <v>683</v>
      </c>
      <c r="C1372">
        <v>8299</v>
      </c>
      <c r="D1372" t="s">
        <v>2377</v>
      </c>
      <c r="E1372" t="s">
        <v>107</v>
      </c>
      <c r="F1372" t="s">
        <v>2378</v>
      </c>
      <c r="G1372" t="s">
        <v>2379</v>
      </c>
      <c r="H1372" t="str">
        <f>"201011000056"</f>
        <v>201011000056</v>
      </c>
      <c r="I1372">
        <v>795.3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30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Y1372">
        <v>0</v>
      </c>
      <c r="Z1372">
        <v>825.3</v>
      </c>
    </row>
    <row r="1373" spans="1:26" x14ac:dyDescent="0.25">
      <c r="H1373" t="s">
        <v>2380</v>
      </c>
    </row>
    <row r="1374" spans="1:26" x14ac:dyDescent="0.25">
      <c r="A1374">
        <v>684</v>
      </c>
      <c r="C1374">
        <v>3928</v>
      </c>
      <c r="D1374" t="s">
        <v>2381</v>
      </c>
      <c r="E1374" t="s">
        <v>365</v>
      </c>
      <c r="F1374" t="s">
        <v>78</v>
      </c>
      <c r="G1374" t="s">
        <v>2382</v>
      </c>
      <c r="H1374" t="str">
        <f>"00492513"</f>
        <v>00492513</v>
      </c>
      <c r="I1374">
        <v>795.3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30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Y1374">
        <v>0</v>
      </c>
      <c r="Z1374">
        <v>825.3</v>
      </c>
    </row>
    <row r="1375" spans="1:26" x14ac:dyDescent="0.25">
      <c r="H1375" t="s">
        <v>2383</v>
      </c>
    </row>
    <row r="1376" spans="1:26" x14ac:dyDescent="0.25">
      <c r="A1376">
        <v>685</v>
      </c>
      <c r="B1376" t="s">
        <v>2384</v>
      </c>
      <c r="C1376">
        <v>11955</v>
      </c>
      <c r="D1376" t="s">
        <v>2385</v>
      </c>
      <c r="E1376" t="s">
        <v>112</v>
      </c>
      <c r="F1376" t="s">
        <v>73</v>
      </c>
      <c r="G1376" t="s">
        <v>2386</v>
      </c>
      <c r="H1376" t="str">
        <f>"00070114"</f>
        <v>00070114</v>
      </c>
      <c r="I1376">
        <v>795.3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30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Y1376">
        <v>1</v>
      </c>
      <c r="Z1376">
        <v>825.3</v>
      </c>
    </row>
    <row r="1377" spans="1:26" x14ac:dyDescent="0.25">
      <c r="H1377" t="s">
        <v>2387</v>
      </c>
    </row>
    <row r="1378" spans="1:26" x14ac:dyDescent="0.25">
      <c r="A1378">
        <v>686</v>
      </c>
      <c r="C1378">
        <v>9487</v>
      </c>
      <c r="D1378" t="s">
        <v>2388</v>
      </c>
      <c r="E1378" t="s">
        <v>2389</v>
      </c>
      <c r="F1378" t="s">
        <v>39</v>
      </c>
      <c r="G1378" t="s">
        <v>2390</v>
      </c>
      <c r="H1378" t="str">
        <f>"00038496"</f>
        <v>00038496</v>
      </c>
      <c r="I1378">
        <v>795.3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30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Y1378">
        <v>0</v>
      </c>
      <c r="Z1378">
        <v>825.3</v>
      </c>
    </row>
    <row r="1379" spans="1:26" x14ac:dyDescent="0.25">
      <c r="H1379" t="s">
        <v>2391</v>
      </c>
    </row>
    <row r="1380" spans="1:26" x14ac:dyDescent="0.25">
      <c r="A1380">
        <v>687</v>
      </c>
      <c r="C1380">
        <v>6508</v>
      </c>
      <c r="D1380" t="s">
        <v>2392</v>
      </c>
      <c r="E1380" t="s">
        <v>39</v>
      </c>
      <c r="F1380" t="s">
        <v>194</v>
      </c>
      <c r="G1380" t="s">
        <v>2393</v>
      </c>
      <c r="H1380" t="str">
        <f>"00551960"</f>
        <v>00551960</v>
      </c>
      <c r="I1380">
        <v>795.3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30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Y1380">
        <v>2</v>
      </c>
      <c r="Z1380">
        <v>825.3</v>
      </c>
    </row>
    <row r="1381" spans="1:26" x14ac:dyDescent="0.25">
      <c r="H1381" t="s">
        <v>2394</v>
      </c>
    </row>
    <row r="1382" spans="1:26" x14ac:dyDescent="0.25">
      <c r="A1382">
        <v>688</v>
      </c>
      <c r="C1382">
        <v>1142</v>
      </c>
      <c r="D1382" t="s">
        <v>2395</v>
      </c>
      <c r="E1382" t="s">
        <v>38</v>
      </c>
      <c r="F1382" t="s">
        <v>79</v>
      </c>
      <c r="G1382" t="s">
        <v>2396</v>
      </c>
      <c r="H1382" t="str">
        <f>"201511007327"</f>
        <v>201511007327</v>
      </c>
      <c r="I1382">
        <v>825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Y1382">
        <v>0</v>
      </c>
      <c r="Z1382">
        <v>825</v>
      </c>
    </row>
    <row r="1383" spans="1:26" x14ac:dyDescent="0.25">
      <c r="H1383" t="s">
        <v>2397</v>
      </c>
    </row>
    <row r="1384" spans="1:26" x14ac:dyDescent="0.25">
      <c r="A1384">
        <v>689</v>
      </c>
      <c r="C1384">
        <v>5719</v>
      </c>
      <c r="D1384" t="s">
        <v>2398</v>
      </c>
      <c r="E1384" t="s">
        <v>84</v>
      </c>
      <c r="F1384" t="s">
        <v>193</v>
      </c>
      <c r="G1384" t="s">
        <v>2399</v>
      </c>
      <c r="H1384" t="str">
        <f>"201511032015"</f>
        <v>201511032015</v>
      </c>
      <c r="I1384">
        <v>825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Y1384">
        <v>0</v>
      </c>
      <c r="Z1384">
        <v>825</v>
      </c>
    </row>
    <row r="1385" spans="1:26" x14ac:dyDescent="0.25">
      <c r="H1385" t="s">
        <v>2400</v>
      </c>
    </row>
    <row r="1386" spans="1:26" x14ac:dyDescent="0.25">
      <c r="A1386">
        <v>690</v>
      </c>
      <c r="C1386">
        <v>13098</v>
      </c>
      <c r="D1386" t="s">
        <v>2401</v>
      </c>
      <c r="E1386" t="s">
        <v>127</v>
      </c>
      <c r="F1386" t="s">
        <v>73</v>
      </c>
      <c r="G1386" t="s">
        <v>2402</v>
      </c>
      <c r="H1386" t="str">
        <f>"00497423"</f>
        <v>00497423</v>
      </c>
      <c r="I1386">
        <v>794.2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30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Y1386">
        <v>0</v>
      </c>
      <c r="Z1386">
        <v>824.2</v>
      </c>
    </row>
    <row r="1387" spans="1:26" x14ac:dyDescent="0.25">
      <c r="H1387" t="s">
        <v>2403</v>
      </c>
    </row>
    <row r="1388" spans="1:26" x14ac:dyDescent="0.25">
      <c r="A1388">
        <v>691</v>
      </c>
      <c r="C1388">
        <v>8409</v>
      </c>
      <c r="D1388" t="s">
        <v>2404</v>
      </c>
      <c r="E1388" t="s">
        <v>56</v>
      </c>
      <c r="F1388" t="s">
        <v>430</v>
      </c>
      <c r="G1388" t="s">
        <v>2405</v>
      </c>
      <c r="H1388" t="str">
        <f>"201511030568"</f>
        <v>201511030568</v>
      </c>
      <c r="I1388">
        <v>794.2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30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Y1388">
        <v>0</v>
      </c>
      <c r="Z1388">
        <v>824.2</v>
      </c>
    </row>
    <row r="1389" spans="1:26" x14ac:dyDescent="0.25">
      <c r="H1389" t="s">
        <v>2406</v>
      </c>
    </row>
    <row r="1390" spans="1:26" x14ac:dyDescent="0.25">
      <c r="A1390">
        <v>692</v>
      </c>
      <c r="C1390">
        <v>5485</v>
      </c>
      <c r="D1390" t="s">
        <v>1402</v>
      </c>
      <c r="E1390" t="s">
        <v>188</v>
      </c>
      <c r="F1390" t="s">
        <v>597</v>
      </c>
      <c r="G1390" t="s">
        <v>2407</v>
      </c>
      <c r="H1390" t="str">
        <f>"00499016"</f>
        <v>00499016</v>
      </c>
      <c r="I1390">
        <v>794.2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30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Y1390">
        <v>1</v>
      </c>
      <c r="Z1390">
        <v>824.2</v>
      </c>
    </row>
    <row r="1391" spans="1:26" x14ac:dyDescent="0.25">
      <c r="H1391" t="s">
        <v>2408</v>
      </c>
    </row>
    <row r="1392" spans="1:26" x14ac:dyDescent="0.25">
      <c r="A1392">
        <v>693</v>
      </c>
      <c r="C1392">
        <v>1977</v>
      </c>
      <c r="D1392" t="s">
        <v>2342</v>
      </c>
      <c r="E1392" t="s">
        <v>687</v>
      </c>
      <c r="F1392" t="s">
        <v>39</v>
      </c>
      <c r="G1392" t="s">
        <v>2409</v>
      </c>
      <c r="H1392" t="str">
        <f>"201511040097"</f>
        <v>201511040097</v>
      </c>
      <c r="I1392">
        <v>823.9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Y1392">
        <v>0</v>
      </c>
      <c r="Z1392">
        <v>823.9</v>
      </c>
    </row>
    <row r="1393" spans="1:26" x14ac:dyDescent="0.25">
      <c r="H1393" t="s">
        <v>2410</v>
      </c>
    </row>
    <row r="1394" spans="1:26" x14ac:dyDescent="0.25">
      <c r="A1394">
        <v>694</v>
      </c>
      <c r="C1394">
        <v>4227</v>
      </c>
      <c r="D1394" t="s">
        <v>2411</v>
      </c>
      <c r="E1394" t="s">
        <v>406</v>
      </c>
      <c r="F1394" t="s">
        <v>194</v>
      </c>
      <c r="G1394" t="s">
        <v>2412</v>
      </c>
      <c r="H1394" t="str">
        <f>"00028801"</f>
        <v>00028801</v>
      </c>
      <c r="I1394">
        <v>823.9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Y1394">
        <v>0</v>
      </c>
      <c r="Z1394">
        <v>823.9</v>
      </c>
    </row>
    <row r="1395" spans="1:26" x14ac:dyDescent="0.25">
      <c r="H1395" t="s">
        <v>2413</v>
      </c>
    </row>
    <row r="1396" spans="1:26" x14ac:dyDescent="0.25">
      <c r="A1396">
        <v>695</v>
      </c>
      <c r="C1396">
        <v>6387</v>
      </c>
      <c r="D1396" t="s">
        <v>1423</v>
      </c>
      <c r="E1396" t="s">
        <v>248</v>
      </c>
      <c r="F1396" t="s">
        <v>194</v>
      </c>
      <c r="G1396" t="s">
        <v>2414</v>
      </c>
      <c r="H1396" t="str">
        <f>"00019320"</f>
        <v>00019320</v>
      </c>
      <c r="I1396">
        <v>773.3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50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Y1396">
        <v>0</v>
      </c>
      <c r="Z1396">
        <v>823.3</v>
      </c>
    </row>
    <row r="1397" spans="1:26" x14ac:dyDescent="0.25">
      <c r="H1397" t="s">
        <v>2415</v>
      </c>
    </row>
    <row r="1398" spans="1:26" x14ac:dyDescent="0.25">
      <c r="A1398">
        <v>696</v>
      </c>
      <c r="C1398">
        <v>4721</v>
      </c>
      <c r="D1398" t="s">
        <v>1723</v>
      </c>
      <c r="E1398" t="s">
        <v>399</v>
      </c>
      <c r="F1398" t="s">
        <v>39</v>
      </c>
      <c r="G1398" t="s">
        <v>2416</v>
      </c>
      <c r="H1398" t="str">
        <f>"201511039726"</f>
        <v>201511039726</v>
      </c>
      <c r="I1398">
        <v>793.1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30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Y1398">
        <v>0</v>
      </c>
      <c r="Z1398">
        <v>823.1</v>
      </c>
    </row>
    <row r="1399" spans="1:26" x14ac:dyDescent="0.25">
      <c r="H1399" t="s">
        <v>588</v>
      </c>
    </row>
    <row r="1400" spans="1:26" x14ac:dyDescent="0.25">
      <c r="A1400">
        <v>697</v>
      </c>
      <c r="C1400">
        <v>7151</v>
      </c>
      <c r="D1400" t="s">
        <v>78</v>
      </c>
      <c r="E1400" t="s">
        <v>2417</v>
      </c>
      <c r="F1400" t="s">
        <v>16</v>
      </c>
      <c r="G1400" t="s">
        <v>2418</v>
      </c>
      <c r="H1400" t="str">
        <f>"201511009310"</f>
        <v>201511009310</v>
      </c>
      <c r="I1400">
        <v>793.1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30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Y1400">
        <v>0</v>
      </c>
      <c r="Z1400">
        <v>823.1</v>
      </c>
    </row>
    <row r="1401" spans="1:26" x14ac:dyDescent="0.25">
      <c r="H1401" t="s">
        <v>2419</v>
      </c>
    </row>
    <row r="1402" spans="1:26" x14ac:dyDescent="0.25">
      <c r="A1402">
        <v>698</v>
      </c>
      <c r="C1402">
        <v>7188</v>
      </c>
      <c r="D1402" t="s">
        <v>2420</v>
      </c>
      <c r="E1402" t="s">
        <v>98</v>
      </c>
      <c r="F1402" t="s">
        <v>194</v>
      </c>
      <c r="G1402" t="s">
        <v>2421</v>
      </c>
      <c r="H1402" t="str">
        <f>"201511023569"</f>
        <v>201511023569</v>
      </c>
      <c r="I1402">
        <v>793.1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30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  <c r="Y1402">
        <v>0</v>
      </c>
      <c r="Z1402">
        <v>823.1</v>
      </c>
    </row>
    <row r="1403" spans="1:26" x14ac:dyDescent="0.25">
      <c r="H1403" t="s">
        <v>2422</v>
      </c>
    </row>
    <row r="1404" spans="1:26" x14ac:dyDescent="0.25">
      <c r="A1404">
        <v>699</v>
      </c>
      <c r="C1404">
        <v>6252</v>
      </c>
      <c r="D1404" t="s">
        <v>550</v>
      </c>
      <c r="E1404" t="s">
        <v>821</v>
      </c>
      <c r="F1404" t="s">
        <v>84</v>
      </c>
      <c r="G1404" t="s">
        <v>2423</v>
      </c>
      <c r="H1404" t="str">
        <f>"201510004217"</f>
        <v>201510004217</v>
      </c>
      <c r="I1404">
        <v>822.8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Y1404">
        <v>0</v>
      </c>
      <c r="Z1404">
        <v>822.8</v>
      </c>
    </row>
    <row r="1405" spans="1:26" x14ac:dyDescent="0.25">
      <c r="H1405" t="s">
        <v>2424</v>
      </c>
    </row>
    <row r="1406" spans="1:26" x14ac:dyDescent="0.25">
      <c r="A1406">
        <v>700</v>
      </c>
      <c r="C1406">
        <v>4280</v>
      </c>
      <c r="D1406" t="s">
        <v>2425</v>
      </c>
      <c r="E1406" t="s">
        <v>264</v>
      </c>
      <c r="F1406" t="s">
        <v>51</v>
      </c>
      <c r="G1406" t="s">
        <v>2426</v>
      </c>
      <c r="H1406" t="str">
        <f>"201511025374"</f>
        <v>201511025374</v>
      </c>
      <c r="I1406">
        <v>822.8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Y1406">
        <v>0</v>
      </c>
      <c r="Z1406">
        <v>822.8</v>
      </c>
    </row>
    <row r="1407" spans="1:26" x14ac:dyDescent="0.25">
      <c r="H1407" t="s">
        <v>2427</v>
      </c>
    </row>
    <row r="1408" spans="1:26" x14ac:dyDescent="0.25">
      <c r="A1408">
        <v>701</v>
      </c>
      <c r="C1408">
        <v>1324</v>
      </c>
      <c r="D1408" t="s">
        <v>2428</v>
      </c>
      <c r="E1408" t="s">
        <v>264</v>
      </c>
      <c r="F1408" t="s">
        <v>346</v>
      </c>
      <c r="G1408" t="s">
        <v>2429</v>
      </c>
      <c r="H1408" t="str">
        <f>"00662645"</f>
        <v>00662645</v>
      </c>
      <c r="I1408">
        <v>792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30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Y1408">
        <v>0</v>
      </c>
      <c r="Z1408">
        <v>822</v>
      </c>
    </row>
    <row r="1409" spans="1:26" x14ac:dyDescent="0.25">
      <c r="H1409" t="s">
        <v>2430</v>
      </c>
    </row>
    <row r="1410" spans="1:26" x14ac:dyDescent="0.25">
      <c r="A1410">
        <v>702</v>
      </c>
      <c r="C1410">
        <v>16764</v>
      </c>
      <c r="D1410" t="s">
        <v>2431</v>
      </c>
      <c r="E1410" t="s">
        <v>98</v>
      </c>
      <c r="F1410" t="s">
        <v>193</v>
      </c>
      <c r="G1410" t="s">
        <v>2432</v>
      </c>
      <c r="H1410" t="str">
        <f>"201510003044"</f>
        <v>201510003044</v>
      </c>
      <c r="I1410">
        <v>821.7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Y1410">
        <v>2</v>
      </c>
      <c r="Z1410">
        <v>821.7</v>
      </c>
    </row>
    <row r="1411" spans="1:26" x14ac:dyDescent="0.25">
      <c r="H1411" t="s">
        <v>2433</v>
      </c>
    </row>
    <row r="1412" spans="1:26" x14ac:dyDescent="0.25">
      <c r="A1412">
        <v>703</v>
      </c>
      <c r="C1412">
        <v>2286</v>
      </c>
      <c r="D1412" t="s">
        <v>2434</v>
      </c>
      <c r="E1412" t="s">
        <v>2435</v>
      </c>
      <c r="F1412" t="s">
        <v>148</v>
      </c>
      <c r="G1412" t="s">
        <v>2436</v>
      </c>
      <c r="H1412" t="str">
        <f>"00679426"</f>
        <v>00679426</v>
      </c>
      <c r="I1412">
        <v>821.7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Y1412">
        <v>0</v>
      </c>
      <c r="Z1412">
        <v>821.7</v>
      </c>
    </row>
    <row r="1413" spans="1:26" x14ac:dyDescent="0.25">
      <c r="H1413" t="s">
        <v>2437</v>
      </c>
    </row>
    <row r="1414" spans="1:26" x14ac:dyDescent="0.25">
      <c r="A1414">
        <v>704</v>
      </c>
      <c r="C1414">
        <v>1386</v>
      </c>
      <c r="D1414" t="s">
        <v>2438</v>
      </c>
      <c r="E1414" t="s">
        <v>56</v>
      </c>
      <c r="F1414" t="s">
        <v>113</v>
      </c>
      <c r="G1414" t="s">
        <v>2439</v>
      </c>
      <c r="H1414" t="str">
        <f>"201510004415"</f>
        <v>201510004415</v>
      </c>
      <c r="I1414">
        <v>771.1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50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0</v>
      </c>
      <c r="Y1414">
        <v>1</v>
      </c>
      <c r="Z1414">
        <v>821.1</v>
      </c>
    </row>
    <row r="1415" spans="1:26" x14ac:dyDescent="0.25">
      <c r="H1415" t="s">
        <v>2440</v>
      </c>
    </row>
    <row r="1416" spans="1:26" x14ac:dyDescent="0.25">
      <c r="A1416">
        <v>705</v>
      </c>
      <c r="C1416">
        <v>17506</v>
      </c>
      <c r="D1416" t="s">
        <v>2441</v>
      </c>
      <c r="E1416" t="s">
        <v>279</v>
      </c>
      <c r="F1416" t="s">
        <v>39</v>
      </c>
      <c r="G1416" t="s">
        <v>2442</v>
      </c>
      <c r="H1416" t="str">
        <f>"200802006551"</f>
        <v>200802006551</v>
      </c>
      <c r="I1416">
        <v>790.9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30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Y1416">
        <v>0</v>
      </c>
      <c r="Z1416">
        <v>820.9</v>
      </c>
    </row>
    <row r="1417" spans="1:26" x14ac:dyDescent="0.25">
      <c r="H1417" t="s">
        <v>2443</v>
      </c>
    </row>
    <row r="1418" spans="1:26" x14ac:dyDescent="0.25">
      <c r="A1418">
        <v>706</v>
      </c>
      <c r="C1418">
        <v>8412</v>
      </c>
      <c r="D1418" t="s">
        <v>2444</v>
      </c>
      <c r="E1418" t="s">
        <v>50</v>
      </c>
      <c r="F1418" t="s">
        <v>90</v>
      </c>
      <c r="G1418" t="s">
        <v>2445</v>
      </c>
      <c r="H1418" t="str">
        <f>"201511035264"</f>
        <v>201511035264</v>
      </c>
      <c r="I1418">
        <v>790.9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30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Y1418">
        <v>0</v>
      </c>
      <c r="Z1418">
        <v>820.9</v>
      </c>
    </row>
    <row r="1419" spans="1:26" x14ac:dyDescent="0.25">
      <c r="H1419" t="s">
        <v>2446</v>
      </c>
    </row>
    <row r="1420" spans="1:26" x14ac:dyDescent="0.25">
      <c r="A1420">
        <v>707</v>
      </c>
      <c r="C1420">
        <v>6799</v>
      </c>
      <c r="D1420" t="s">
        <v>2447</v>
      </c>
      <c r="E1420" t="s">
        <v>248</v>
      </c>
      <c r="F1420" t="s">
        <v>127</v>
      </c>
      <c r="G1420" t="s">
        <v>2448</v>
      </c>
      <c r="H1420" t="str">
        <f>"00028950"</f>
        <v>00028950</v>
      </c>
      <c r="I1420">
        <v>790.9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30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Y1420">
        <v>1</v>
      </c>
      <c r="Z1420">
        <v>820.9</v>
      </c>
    </row>
    <row r="1421" spans="1:26" x14ac:dyDescent="0.25">
      <c r="H1421" t="s">
        <v>2449</v>
      </c>
    </row>
    <row r="1422" spans="1:26" x14ac:dyDescent="0.25">
      <c r="A1422">
        <v>708</v>
      </c>
      <c r="C1422">
        <v>16940</v>
      </c>
      <c r="D1422" t="s">
        <v>2450</v>
      </c>
      <c r="E1422" t="s">
        <v>2451</v>
      </c>
      <c r="F1422" t="s">
        <v>51</v>
      </c>
      <c r="G1422" t="s">
        <v>2452</v>
      </c>
      <c r="H1422" t="str">
        <f>"201511020919"</f>
        <v>201511020919</v>
      </c>
      <c r="I1422">
        <v>820.6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Y1422">
        <v>0</v>
      </c>
      <c r="Z1422">
        <v>820.6</v>
      </c>
    </row>
    <row r="1423" spans="1:26" x14ac:dyDescent="0.25">
      <c r="H1423" t="s">
        <v>2453</v>
      </c>
    </row>
    <row r="1424" spans="1:26" x14ac:dyDescent="0.25">
      <c r="A1424">
        <v>709</v>
      </c>
      <c r="C1424">
        <v>9288</v>
      </c>
      <c r="D1424" t="s">
        <v>1446</v>
      </c>
      <c r="E1424" t="s">
        <v>112</v>
      </c>
      <c r="F1424" t="s">
        <v>39</v>
      </c>
      <c r="G1424" t="s">
        <v>2454</v>
      </c>
      <c r="H1424" t="str">
        <f>"00019633"</f>
        <v>00019633</v>
      </c>
      <c r="I1424">
        <v>820.6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Y1424">
        <v>0</v>
      </c>
      <c r="Z1424">
        <v>820.6</v>
      </c>
    </row>
    <row r="1425" spans="1:26" x14ac:dyDescent="0.25">
      <c r="H1425" t="s">
        <v>2455</v>
      </c>
    </row>
    <row r="1426" spans="1:26" x14ac:dyDescent="0.25">
      <c r="A1426">
        <v>710</v>
      </c>
      <c r="C1426">
        <v>2302</v>
      </c>
      <c r="D1426" t="s">
        <v>2456</v>
      </c>
      <c r="E1426" t="s">
        <v>182</v>
      </c>
      <c r="F1426" t="s">
        <v>567</v>
      </c>
      <c r="G1426" t="s">
        <v>2457</v>
      </c>
      <c r="H1426" t="str">
        <f>"201511040506"</f>
        <v>201511040506</v>
      </c>
      <c r="I1426">
        <v>750.2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70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Y1426">
        <v>0</v>
      </c>
      <c r="Z1426">
        <v>820.2</v>
      </c>
    </row>
    <row r="1427" spans="1:26" x14ac:dyDescent="0.25">
      <c r="H1427" t="s">
        <v>2458</v>
      </c>
    </row>
    <row r="1428" spans="1:26" x14ac:dyDescent="0.25">
      <c r="A1428">
        <v>711</v>
      </c>
      <c r="C1428">
        <v>1442</v>
      </c>
      <c r="D1428" t="s">
        <v>2371</v>
      </c>
      <c r="E1428" t="s">
        <v>1132</v>
      </c>
      <c r="F1428" t="s">
        <v>144</v>
      </c>
      <c r="G1428" t="s">
        <v>2459</v>
      </c>
      <c r="H1428" t="str">
        <f>"00020147"</f>
        <v>00020147</v>
      </c>
      <c r="I1428">
        <v>750.2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70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Y1428">
        <v>0</v>
      </c>
      <c r="Z1428">
        <v>820.2</v>
      </c>
    </row>
    <row r="1429" spans="1:26" x14ac:dyDescent="0.25">
      <c r="H1429" t="s">
        <v>2460</v>
      </c>
    </row>
    <row r="1430" spans="1:26" x14ac:dyDescent="0.25">
      <c r="A1430">
        <v>712</v>
      </c>
      <c r="C1430">
        <v>4718</v>
      </c>
      <c r="D1430" t="s">
        <v>2461</v>
      </c>
      <c r="E1430" t="s">
        <v>132</v>
      </c>
      <c r="F1430" t="s">
        <v>39</v>
      </c>
      <c r="G1430" t="s">
        <v>2462</v>
      </c>
      <c r="H1430" t="str">
        <f>"201511029696"</f>
        <v>201511029696</v>
      </c>
      <c r="I1430">
        <v>770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50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Y1430">
        <v>0</v>
      </c>
      <c r="Z1430">
        <v>820</v>
      </c>
    </row>
    <row r="1431" spans="1:26" x14ac:dyDescent="0.25">
      <c r="H1431" t="s">
        <v>2463</v>
      </c>
    </row>
    <row r="1432" spans="1:26" x14ac:dyDescent="0.25">
      <c r="A1432">
        <v>713</v>
      </c>
      <c r="C1432">
        <v>9780</v>
      </c>
      <c r="D1432" t="s">
        <v>2464</v>
      </c>
      <c r="E1432" t="s">
        <v>2465</v>
      </c>
      <c r="F1432" t="s">
        <v>16</v>
      </c>
      <c r="G1432" t="s">
        <v>2466</v>
      </c>
      <c r="H1432" t="str">
        <f>"201511007881"</f>
        <v>201511007881</v>
      </c>
      <c r="I1432">
        <v>789.8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30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0</v>
      </c>
      <c r="Y1432">
        <v>0</v>
      </c>
      <c r="Z1432">
        <v>819.8</v>
      </c>
    </row>
    <row r="1433" spans="1:26" x14ac:dyDescent="0.25">
      <c r="H1433" t="s">
        <v>2467</v>
      </c>
    </row>
    <row r="1434" spans="1:26" x14ac:dyDescent="0.25">
      <c r="A1434">
        <v>714</v>
      </c>
      <c r="C1434">
        <v>7577</v>
      </c>
      <c r="D1434" t="s">
        <v>2441</v>
      </c>
      <c r="E1434" t="s">
        <v>248</v>
      </c>
      <c r="F1434" t="s">
        <v>127</v>
      </c>
      <c r="G1434" t="s">
        <v>2468</v>
      </c>
      <c r="H1434" t="str">
        <f>"201601001324"</f>
        <v>201601001324</v>
      </c>
      <c r="I1434">
        <v>789.8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30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Y1434">
        <v>0</v>
      </c>
      <c r="Z1434">
        <v>819.8</v>
      </c>
    </row>
    <row r="1435" spans="1:26" x14ac:dyDescent="0.25">
      <c r="H1435" t="s">
        <v>2469</v>
      </c>
    </row>
    <row r="1436" spans="1:26" x14ac:dyDescent="0.25">
      <c r="A1436">
        <v>715</v>
      </c>
      <c r="C1436">
        <v>16113</v>
      </c>
      <c r="D1436" t="s">
        <v>2470</v>
      </c>
      <c r="E1436" t="s">
        <v>194</v>
      </c>
      <c r="F1436" t="s">
        <v>51</v>
      </c>
      <c r="G1436" t="s">
        <v>2471</v>
      </c>
      <c r="H1436" t="str">
        <f>"00533172"</f>
        <v>00533172</v>
      </c>
      <c r="I1436">
        <v>749.1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70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Y1436">
        <v>0</v>
      </c>
      <c r="Z1436">
        <v>819.1</v>
      </c>
    </row>
    <row r="1437" spans="1:26" x14ac:dyDescent="0.25">
      <c r="H1437" t="s">
        <v>2472</v>
      </c>
    </row>
    <row r="1438" spans="1:26" x14ac:dyDescent="0.25">
      <c r="A1438">
        <v>716</v>
      </c>
      <c r="C1438">
        <v>14051</v>
      </c>
      <c r="D1438" t="s">
        <v>2473</v>
      </c>
      <c r="E1438" t="s">
        <v>90</v>
      </c>
      <c r="F1438" t="s">
        <v>16</v>
      </c>
      <c r="G1438" t="s">
        <v>2474</v>
      </c>
      <c r="H1438" t="str">
        <f>"00488691"</f>
        <v>00488691</v>
      </c>
      <c r="I1438">
        <v>788.7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30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Y1438">
        <v>0</v>
      </c>
      <c r="Z1438">
        <v>818.7</v>
      </c>
    </row>
    <row r="1439" spans="1:26" x14ac:dyDescent="0.25">
      <c r="H1439" t="s">
        <v>2475</v>
      </c>
    </row>
    <row r="1440" spans="1:26" x14ac:dyDescent="0.25">
      <c r="A1440">
        <v>717</v>
      </c>
      <c r="C1440">
        <v>14486</v>
      </c>
      <c r="D1440" t="s">
        <v>2476</v>
      </c>
      <c r="E1440" t="s">
        <v>415</v>
      </c>
      <c r="F1440" t="s">
        <v>127</v>
      </c>
      <c r="G1440" t="s">
        <v>2477</v>
      </c>
      <c r="H1440" t="str">
        <f>"201511024803"</f>
        <v>201511024803</v>
      </c>
      <c r="I1440">
        <v>788.7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30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Y1440">
        <v>0</v>
      </c>
      <c r="Z1440">
        <v>818.7</v>
      </c>
    </row>
    <row r="1441" spans="1:26" x14ac:dyDescent="0.25">
      <c r="H1441" t="s">
        <v>2478</v>
      </c>
    </row>
    <row r="1442" spans="1:26" x14ac:dyDescent="0.25">
      <c r="A1442">
        <v>718</v>
      </c>
      <c r="C1442">
        <v>6073</v>
      </c>
      <c r="D1442" t="s">
        <v>2479</v>
      </c>
      <c r="E1442" t="s">
        <v>821</v>
      </c>
      <c r="F1442" t="s">
        <v>73</v>
      </c>
      <c r="G1442" t="s">
        <v>2480</v>
      </c>
      <c r="H1442" t="str">
        <f>"201105000083"</f>
        <v>201105000083</v>
      </c>
      <c r="I1442">
        <v>788.7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30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Y1442">
        <v>0</v>
      </c>
      <c r="Z1442">
        <v>818.7</v>
      </c>
    </row>
    <row r="1443" spans="1:26" x14ac:dyDescent="0.25">
      <c r="H1443" t="s">
        <v>2481</v>
      </c>
    </row>
    <row r="1444" spans="1:26" x14ac:dyDescent="0.25">
      <c r="A1444">
        <v>719</v>
      </c>
      <c r="C1444">
        <v>5592</v>
      </c>
      <c r="D1444" t="s">
        <v>2482</v>
      </c>
      <c r="E1444" t="s">
        <v>56</v>
      </c>
      <c r="F1444" t="s">
        <v>73</v>
      </c>
      <c r="G1444" t="s">
        <v>2483</v>
      </c>
      <c r="H1444" t="str">
        <f>"201511017751"</f>
        <v>201511017751</v>
      </c>
      <c r="I1444">
        <v>788.7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30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Y1444">
        <v>0</v>
      </c>
      <c r="Z1444">
        <v>818.7</v>
      </c>
    </row>
    <row r="1445" spans="1:26" x14ac:dyDescent="0.25">
      <c r="H1445" t="s">
        <v>2484</v>
      </c>
    </row>
    <row r="1446" spans="1:26" x14ac:dyDescent="0.25">
      <c r="A1446">
        <v>720</v>
      </c>
      <c r="C1446">
        <v>12390</v>
      </c>
      <c r="D1446" t="s">
        <v>2485</v>
      </c>
      <c r="E1446" t="s">
        <v>1407</v>
      </c>
      <c r="F1446" t="s">
        <v>133</v>
      </c>
      <c r="G1446" t="s">
        <v>2486</v>
      </c>
      <c r="H1446" t="str">
        <f>"00069600"</f>
        <v>00069600</v>
      </c>
      <c r="I1446">
        <v>788.7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30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Y1446">
        <v>0</v>
      </c>
      <c r="Z1446">
        <v>818.7</v>
      </c>
    </row>
    <row r="1447" spans="1:26" x14ac:dyDescent="0.25">
      <c r="H1447" t="s">
        <v>2487</v>
      </c>
    </row>
    <row r="1448" spans="1:26" x14ac:dyDescent="0.25">
      <c r="A1448">
        <v>721</v>
      </c>
      <c r="C1448">
        <v>11129</v>
      </c>
      <c r="D1448" t="s">
        <v>2488</v>
      </c>
      <c r="E1448" t="s">
        <v>89</v>
      </c>
      <c r="F1448" t="s">
        <v>1696</v>
      </c>
      <c r="G1448" t="s">
        <v>2489</v>
      </c>
      <c r="H1448" t="str">
        <f>"00493505"</f>
        <v>00493505</v>
      </c>
      <c r="I1448">
        <v>818.4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Y1448">
        <v>0</v>
      </c>
      <c r="Z1448">
        <v>818.4</v>
      </c>
    </row>
    <row r="1449" spans="1:26" x14ac:dyDescent="0.25">
      <c r="H1449" t="s">
        <v>2490</v>
      </c>
    </row>
    <row r="1450" spans="1:26" x14ac:dyDescent="0.25">
      <c r="A1450">
        <v>722</v>
      </c>
      <c r="C1450">
        <v>16362</v>
      </c>
      <c r="D1450" t="s">
        <v>2491</v>
      </c>
      <c r="E1450" t="s">
        <v>933</v>
      </c>
      <c r="F1450" t="s">
        <v>90</v>
      </c>
      <c r="G1450" t="s">
        <v>2492</v>
      </c>
      <c r="H1450" t="str">
        <f>"201511027227"</f>
        <v>201511027227</v>
      </c>
      <c r="I1450">
        <v>818.4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Y1450">
        <v>0</v>
      </c>
      <c r="Z1450">
        <v>818.4</v>
      </c>
    </row>
    <row r="1451" spans="1:26" x14ac:dyDescent="0.25">
      <c r="H1451" t="s">
        <v>2493</v>
      </c>
    </row>
    <row r="1452" spans="1:26" x14ac:dyDescent="0.25">
      <c r="A1452">
        <v>723</v>
      </c>
      <c r="C1452">
        <v>11613</v>
      </c>
      <c r="D1452" t="s">
        <v>2494</v>
      </c>
      <c r="E1452" t="s">
        <v>98</v>
      </c>
      <c r="F1452" t="s">
        <v>2495</v>
      </c>
      <c r="G1452" t="s">
        <v>2496</v>
      </c>
      <c r="H1452" t="str">
        <f>"201511008977"</f>
        <v>201511008977</v>
      </c>
      <c r="I1452">
        <v>818.4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Y1452">
        <v>0</v>
      </c>
      <c r="Z1452">
        <v>818.4</v>
      </c>
    </row>
    <row r="1453" spans="1:26" x14ac:dyDescent="0.25">
      <c r="H1453" t="s">
        <v>2497</v>
      </c>
    </row>
    <row r="1454" spans="1:26" x14ac:dyDescent="0.25">
      <c r="A1454">
        <v>724</v>
      </c>
      <c r="C1454">
        <v>12155</v>
      </c>
      <c r="D1454" t="s">
        <v>2498</v>
      </c>
      <c r="E1454" t="s">
        <v>235</v>
      </c>
      <c r="F1454" t="s">
        <v>354</v>
      </c>
      <c r="G1454" t="s">
        <v>2499</v>
      </c>
      <c r="H1454" t="str">
        <f>"00541884"</f>
        <v>00541884</v>
      </c>
      <c r="I1454">
        <v>818.4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Y1454">
        <v>0</v>
      </c>
      <c r="Z1454">
        <v>818.4</v>
      </c>
    </row>
    <row r="1455" spans="1:26" x14ac:dyDescent="0.25">
      <c r="H1455" t="s">
        <v>2500</v>
      </c>
    </row>
    <row r="1456" spans="1:26" x14ac:dyDescent="0.25">
      <c r="A1456">
        <v>725</v>
      </c>
      <c r="C1456">
        <v>439</v>
      </c>
      <c r="D1456" t="s">
        <v>2501</v>
      </c>
      <c r="E1456" t="s">
        <v>921</v>
      </c>
      <c r="F1456" t="s">
        <v>138</v>
      </c>
      <c r="G1456" t="s">
        <v>2502</v>
      </c>
      <c r="H1456" t="str">
        <f>"00726150"</f>
        <v>00726150</v>
      </c>
      <c r="I1456">
        <v>748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70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Y1456">
        <v>0</v>
      </c>
      <c r="Z1456">
        <v>818</v>
      </c>
    </row>
    <row r="1457" spans="1:26" x14ac:dyDescent="0.25">
      <c r="H1457" t="s">
        <v>2503</v>
      </c>
    </row>
    <row r="1458" spans="1:26" x14ac:dyDescent="0.25">
      <c r="A1458">
        <v>726</v>
      </c>
      <c r="C1458">
        <v>11398</v>
      </c>
      <c r="D1458" t="s">
        <v>1708</v>
      </c>
      <c r="E1458" t="s">
        <v>373</v>
      </c>
      <c r="F1458" t="s">
        <v>39</v>
      </c>
      <c r="G1458" t="s">
        <v>2504</v>
      </c>
      <c r="H1458" t="str">
        <f>"00737123"</f>
        <v>00737123</v>
      </c>
      <c r="I1458">
        <v>748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70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Y1458">
        <v>1</v>
      </c>
      <c r="Z1458">
        <v>818</v>
      </c>
    </row>
    <row r="1459" spans="1:26" x14ac:dyDescent="0.25">
      <c r="H1459" t="s">
        <v>2505</v>
      </c>
    </row>
    <row r="1460" spans="1:26" x14ac:dyDescent="0.25">
      <c r="A1460">
        <v>727</v>
      </c>
      <c r="C1460">
        <v>9914</v>
      </c>
      <c r="D1460" t="s">
        <v>2506</v>
      </c>
      <c r="E1460" t="s">
        <v>2507</v>
      </c>
      <c r="F1460" t="s">
        <v>302</v>
      </c>
      <c r="G1460" t="s">
        <v>2508</v>
      </c>
      <c r="H1460" t="str">
        <f>"00739632"</f>
        <v>00739632</v>
      </c>
      <c r="I1460">
        <v>767.8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50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Y1460">
        <v>0</v>
      </c>
      <c r="Z1460">
        <v>817.8</v>
      </c>
    </row>
    <row r="1461" spans="1:26" x14ac:dyDescent="0.25">
      <c r="H1461" t="s">
        <v>2509</v>
      </c>
    </row>
    <row r="1462" spans="1:26" x14ac:dyDescent="0.25">
      <c r="A1462">
        <v>728</v>
      </c>
      <c r="C1462">
        <v>4848</v>
      </c>
      <c r="D1462" t="s">
        <v>2510</v>
      </c>
      <c r="E1462" t="s">
        <v>182</v>
      </c>
      <c r="F1462" t="s">
        <v>194</v>
      </c>
      <c r="G1462" t="s">
        <v>2511</v>
      </c>
      <c r="H1462" t="str">
        <f>"201511041864"</f>
        <v>201511041864</v>
      </c>
      <c r="I1462">
        <v>787.6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30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Y1462">
        <v>0</v>
      </c>
      <c r="Z1462">
        <v>817.6</v>
      </c>
    </row>
    <row r="1463" spans="1:26" x14ac:dyDescent="0.25">
      <c r="H1463" t="s">
        <v>2512</v>
      </c>
    </row>
    <row r="1464" spans="1:26" x14ac:dyDescent="0.25">
      <c r="A1464">
        <v>729</v>
      </c>
      <c r="C1464">
        <v>509</v>
      </c>
      <c r="D1464" t="s">
        <v>2513</v>
      </c>
      <c r="E1464" t="s">
        <v>2514</v>
      </c>
      <c r="F1464" t="s">
        <v>133</v>
      </c>
      <c r="G1464" t="s">
        <v>2515</v>
      </c>
      <c r="H1464" t="str">
        <f>"00505049"</f>
        <v>00505049</v>
      </c>
      <c r="I1464">
        <v>787.6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30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Y1464">
        <v>0</v>
      </c>
      <c r="Z1464">
        <v>817.6</v>
      </c>
    </row>
    <row r="1465" spans="1:26" x14ac:dyDescent="0.25">
      <c r="H1465" t="s">
        <v>2516</v>
      </c>
    </row>
    <row r="1466" spans="1:26" x14ac:dyDescent="0.25">
      <c r="A1466">
        <v>730</v>
      </c>
      <c r="C1466">
        <v>15780</v>
      </c>
      <c r="D1466" t="s">
        <v>897</v>
      </c>
      <c r="E1466" t="s">
        <v>112</v>
      </c>
      <c r="F1466" t="s">
        <v>456</v>
      </c>
      <c r="G1466" t="s">
        <v>2517</v>
      </c>
      <c r="H1466" t="str">
        <f>"201511018630"</f>
        <v>201511018630</v>
      </c>
      <c r="I1466">
        <v>817.3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Y1466">
        <v>0</v>
      </c>
      <c r="Z1466">
        <v>817.3</v>
      </c>
    </row>
    <row r="1467" spans="1:26" x14ac:dyDescent="0.25">
      <c r="H1467" t="s">
        <v>2518</v>
      </c>
    </row>
    <row r="1468" spans="1:26" x14ac:dyDescent="0.25">
      <c r="A1468">
        <v>731</v>
      </c>
      <c r="C1468">
        <v>2149</v>
      </c>
      <c r="D1468" t="s">
        <v>2519</v>
      </c>
      <c r="E1468" t="s">
        <v>2520</v>
      </c>
      <c r="F1468" t="s">
        <v>1492</v>
      </c>
      <c r="G1468" t="s">
        <v>2521</v>
      </c>
      <c r="H1468" t="str">
        <f>"201511017292"</f>
        <v>201511017292</v>
      </c>
      <c r="I1468">
        <v>817.3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Y1468">
        <v>0</v>
      </c>
      <c r="Z1468">
        <v>817.3</v>
      </c>
    </row>
    <row r="1469" spans="1:26" x14ac:dyDescent="0.25">
      <c r="H1469" t="s">
        <v>2522</v>
      </c>
    </row>
    <row r="1470" spans="1:26" x14ac:dyDescent="0.25">
      <c r="A1470">
        <v>732</v>
      </c>
      <c r="C1470">
        <v>323</v>
      </c>
      <c r="D1470" t="s">
        <v>2523</v>
      </c>
      <c r="E1470" t="s">
        <v>279</v>
      </c>
      <c r="F1470" t="s">
        <v>138</v>
      </c>
      <c r="G1470" t="s">
        <v>2524</v>
      </c>
      <c r="H1470" t="str">
        <f>"201511010395"</f>
        <v>201511010395</v>
      </c>
      <c r="I1470">
        <v>766.7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50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Y1470">
        <v>0</v>
      </c>
      <c r="Z1470">
        <v>816.7</v>
      </c>
    </row>
    <row r="1471" spans="1:26" x14ac:dyDescent="0.25">
      <c r="H1471" t="s">
        <v>2525</v>
      </c>
    </row>
    <row r="1472" spans="1:26" x14ac:dyDescent="0.25">
      <c r="A1472">
        <v>733</v>
      </c>
      <c r="C1472">
        <v>14070</v>
      </c>
      <c r="D1472" t="s">
        <v>2526</v>
      </c>
      <c r="E1472" t="s">
        <v>235</v>
      </c>
      <c r="F1472" t="s">
        <v>2527</v>
      </c>
      <c r="G1472" t="s">
        <v>2528</v>
      </c>
      <c r="H1472" t="str">
        <f>"00489137"</f>
        <v>00489137</v>
      </c>
      <c r="I1472">
        <v>766.7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50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Y1472">
        <v>0</v>
      </c>
      <c r="Z1472">
        <v>816.7</v>
      </c>
    </row>
    <row r="1473" spans="1:26" x14ac:dyDescent="0.25">
      <c r="H1473" t="s">
        <v>2529</v>
      </c>
    </row>
    <row r="1474" spans="1:26" x14ac:dyDescent="0.25">
      <c r="A1474">
        <v>734</v>
      </c>
      <c r="C1474">
        <v>13057</v>
      </c>
      <c r="D1474" t="s">
        <v>2530</v>
      </c>
      <c r="E1474" t="s">
        <v>264</v>
      </c>
      <c r="F1474" t="s">
        <v>127</v>
      </c>
      <c r="G1474" t="s">
        <v>2531</v>
      </c>
      <c r="H1474" t="str">
        <f>"201511032696"</f>
        <v>201511032696</v>
      </c>
      <c r="I1474">
        <v>786.5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30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Y1474">
        <v>0</v>
      </c>
      <c r="Z1474">
        <v>816.5</v>
      </c>
    </row>
    <row r="1475" spans="1:26" x14ac:dyDescent="0.25">
      <c r="H1475" t="s">
        <v>2532</v>
      </c>
    </row>
    <row r="1476" spans="1:26" x14ac:dyDescent="0.25">
      <c r="A1476">
        <v>735</v>
      </c>
      <c r="C1476">
        <v>14578</v>
      </c>
      <c r="D1476" t="s">
        <v>2533</v>
      </c>
      <c r="E1476" t="s">
        <v>430</v>
      </c>
      <c r="F1476" t="s">
        <v>194</v>
      </c>
      <c r="G1476" t="s">
        <v>2534</v>
      </c>
      <c r="H1476" t="str">
        <f>"00316139"</f>
        <v>00316139</v>
      </c>
      <c r="I1476">
        <v>745.8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70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Y1476">
        <v>0</v>
      </c>
      <c r="Z1476">
        <v>815.8</v>
      </c>
    </row>
    <row r="1477" spans="1:26" x14ac:dyDescent="0.25">
      <c r="H1477" t="s">
        <v>2535</v>
      </c>
    </row>
    <row r="1478" spans="1:26" x14ac:dyDescent="0.25">
      <c r="A1478">
        <v>736</v>
      </c>
      <c r="C1478">
        <v>1311</v>
      </c>
      <c r="D1478" t="s">
        <v>2536</v>
      </c>
      <c r="E1478" t="s">
        <v>2537</v>
      </c>
      <c r="F1478" t="s">
        <v>2538</v>
      </c>
      <c r="G1478" t="s">
        <v>2539</v>
      </c>
      <c r="H1478" t="str">
        <f>"00441730"</f>
        <v>00441730</v>
      </c>
      <c r="I1478">
        <v>765.6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50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Y1478">
        <v>0</v>
      </c>
      <c r="Z1478">
        <v>815.6</v>
      </c>
    </row>
    <row r="1479" spans="1:26" x14ac:dyDescent="0.25">
      <c r="H1479" t="s">
        <v>2540</v>
      </c>
    </row>
    <row r="1480" spans="1:26" x14ac:dyDescent="0.25">
      <c r="A1480">
        <v>737</v>
      </c>
      <c r="C1480">
        <v>1191</v>
      </c>
      <c r="D1480" t="s">
        <v>2541</v>
      </c>
      <c r="E1480" t="s">
        <v>2542</v>
      </c>
      <c r="F1480" t="s">
        <v>2543</v>
      </c>
      <c r="G1480" t="s">
        <v>2544</v>
      </c>
      <c r="H1480" t="str">
        <f>"00483472"</f>
        <v>00483472</v>
      </c>
      <c r="I1480">
        <v>785.4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30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Y1480">
        <v>0</v>
      </c>
      <c r="Z1480">
        <v>815.4</v>
      </c>
    </row>
    <row r="1481" spans="1:26" x14ac:dyDescent="0.25">
      <c r="H1481" t="s">
        <v>2545</v>
      </c>
    </row>
    <row r="1482" spans="1:26" x14ac:dyDescent="0.25">
      <c r="A1482">
        <v>738</v>
      </c>
      <c r="C1482">
        <v>3093</v>
      </c>
      <c r="D1482" t="s">
        <v>2546</v>
      </c>
      <c r="E1482" t="s">
        <v>94</v>
      </c>
      <c r="F1482" t="s">
        <v>346</v>
      </c>
      <c r="G1482" t="s">
        <v>2547</v>
      </c>
      <c r="H1482" t="str">
        <f>"00016626"</f>
        <v>00016626</v>
      </c>
      <c r="I1482">
        <v>785.4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30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Y1482">
        <v>0</v>
      </c>
      <c r="Z1482">
        <v>815.4</v>
      </c>
    </row>
    <row r="1483" spans="1:26" x14ac:dyDescent="0.25">
      <c r="H1483" t="s">
        <v>2548</v>
      </c>
    </row>
    <row r="1484" spans="1:26" x14ac:dyDescent="0.25">
      <c r="A1484">
        <v>739</v>
      </c>
      <c r="C1484">
        <v>9240</v>
      </c>
      <c r="D1484" t="s">
        <v>2549</v>
      </c>
      <c r="E1484" t="s">
        <v>164</v>
      </c>
      <c r="F1484" t="s">
        <v>73</v>
      </c>
      <c r="G1484" t="s">
        <v>2550</v>
      </c>
      <c r="H1484" t="str">
        <f>"00487677"</f>
        <v>00487677</v>
      </c>
      <c r="I1484">
        <v>785.4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30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Y1484">
        <v>0</v>
      </c>
      <c r="Z1484">
        <v>815.4</v>
      </c>
    </row>
    <row r="1485" spans="1:26" x14ac:dyDescent="0.25">
      <c r="H1485" t="s">
        <v>2551</v>
      </c>
    </row>
    <row r="1486" spans="1:26" x14ac:dyDescent="0.25">
      <c r="A1486">
        <v>740</v>
      </c>
      <c r="C1486">
        <v>7005</v>
      </c>
      <c r="D1486" t="s">
        <v>2552</v>
      </c>
      <c r="E1486" t="s">
        <v>90</v>
      </c>
      <c r="F1486" t="s">
        <v>2553</v>
      </c>
      <c r="G1486" t="s">
        <v>2554</v>
      </c>
      <c r="H1486" t="str">
        <f>"00486759"</f>
        <v>00486759</v>
      </c>
      <c r="I1486">
        <v>785.4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30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Y1486">
        <v>0</v>
      </c>
      <c r="Z1486">
        <v>815.4</v>
      </c>
    </row>
    <row r="1487" spans="1:26" x14ac:dyDescent="0.25">
      <c r="H1487" t="s">
        <v>2555</v>
      </c>
    </row>
    <row r="1488" spans="1:26" x14ac:dyDescent="0.25">
      <c r="A1488">
        <v>741</v>
      </c>
      <c r="C1488">
        <v>5921</v>
      </c>
      <c r="D1488" t="s">
        <v>2556</v>
      </c>
      <c r="E1488" t="s">
        <v>965</v>
      </c>
      <c r="F1488" t="s">
        <v>127</v>
      </c>
      <c r="G1488" t="s">
        <v>2557</v>
      </c>
      <c r="H1488" t="str">
        <f>"00337911"</f>
        <v>00337911</v>
      </c>
      <c r="I1488">
        <v>785.4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30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Y1488">
        <v>0</v>
      </c>
      <c r="Z1488">
        <v>815.4</v>
      </c>
    </row>
    <row r="1489" spans="1:26" x14ac:dyDescent="0.25">
      <c r="H1489" t="s">
        <v>2558</v>
      </c>
    </row>
    <row r="1490" spans="1:26" x14ac:dyDescent="0.25">
      <c r="A1490">
        <v>742</v>
      </c>
      <c r="C1490">
        <v>13951</v>
      </c>
      <c r="D1490" t="s">
        <v>2559</v>
      </c>
      <c r="E1490" t="s">
        <v>2560</v>
      </c>
      <c r="F1490" t="s">
        <v>16</v>
      </c>
      <c r="G1490" t="s">
        <v>2561</v>
      </c>
      <c r="H1490" t="str">
        <f>"00738481"</f>
        <v>00738481</v>
      </c>
      <c r="I1490">
        <v>815.1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Y1490">
        <v>0</v>
      </c>
      <c r="Z1490">
        <v>815.1</v>
      </c>
    </row>
    <row r="1491" spans="1:26" x14ac:dyDescent="0.25">
      <c r="H1491" t="s">
        <v>2562</v>
      </c>
    </row>
    <row r="1492" spans="1:26" x14ac:dyDescent="0.25">
      <c r="A1492">
        <v>743</v>
      </c>
      <c r="C1492">
        <v>8366</v>
      </c>
      <c r="D1492" t="s">
        <v>2563</v>
      </c>
      <c r="E1492" t="s">
        <v>50</v>
      </c>
      <c r="F1492" t="s">
        <v>354</v>
      </c>
      <c r="G1492" t="s">
        <v>2564</v>
      </c>
      <c r="H1492" t="str">
        <f>"00227764"</f>
        <v>00227764</v>
      </c>
      <c r="I1492">
        <v>784.3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30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Y1492">
        <v>0</v>
      </c>
      <c r="Z1492">
        <v>814.3</v>
      </c>
    </row>
    <row r="1493" spans="1:26" x14ac:dyDescent="0.25">
      <c r="H1493" t="s">
        <v>2565</v>
      </c>
    </row>
    <row r="1494" spans="1:26" x14ac:dyDescent="0.25">
      <c r="A1494">
        <v>744</v>
      </c>
      <c r="C1494">
        <v>7300</v>
      </c>
      <c r="D1494" t="s">
        <v>1591</v>
      </c>
      <c r="E1494" t="s">
        <v>164</v>
      </c>
      <c r="F1494" t="s">
        <v>204</v>
      </c>
      <c r="G1494" t="s">
        <v>2566</v>
      </c>
      <c r="H1494" t="str">
        <f>"00044676"</f>
        <v>00044676</v>
      </c>
      <c r="I1494">
        <v>784.3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30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Y1494">
        <v>0</v>
      </c>
      <c r="Z1494">
        <v>814.3</v>
      </c>
    </row>
    <row r="1495" spans="1:26" x14ac:dyDescent="0.25">
      <c r="H1495" t="s">
        <v>545</v>
      </c>
    </row>
    <row r="1496" spans="1:26" x14ac:dyDescent="0.25">
      <c r="A1496">
        <v>745</v>
      </c>
      <c r="C1496">
        <v>12952</v>
      </c>
      <c r="D1496" t="s">
        <v>2567</v>
      </c>
      <c r="E1496" t="s">
        <v>395</v>
      </c>
      <c r="F1496" t="s">
        <v>2568</v>
      </c>
      <c r="G1496" t="s">
        <v>2569</v>
      </c>
      <c r="H1496" t="str">
        <f>"00492978"</f>
        <v>00492978</v>
      </c>
      <c r="I1496">
        <v>814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Y1496">
        <v>0</v>
      </c>
      <c r="Z1496">
        <v>814</v>
      </c>
    </row>
    <row r="1497" spans="1:26" x14ac:dyDescent="0.25">
      <c r="H1497" t="s">
        <v>2570</v>
      </c>
    </row>
    <row r="1498" spans="1:26" x14ac:dyDescent="0.25">
      <c r="A1498">
        <v>746</v>
      </c>
      <c r="C1498">
        <v>201</v>
      </c>
      <c r="D1498" t="s">
        <v>2571</v>
      </c>
      <c r="E1498" t="s">
        <v>73</v>
      </c>
      <c r="F1498" t="s">
        <v>144</v>
      </c>
      <c r="G1498" t="s">
        <v>2572</v>
      </c>
      <c r="H1498" t="str">
        <f>"201511013435"</f>
        <v>201511013435</v>
      </c>
      <c r="I1498">
        <v>814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Y1498">
        <v>0</v>
      </c>
      <c r="Z1498">
        <v>814</v>
      </c>
    </row>
    <row r="1499" spans="1:26" x14ac:dyDescent="0.25">
      <c r="H1499" t="s">
        <v>2573</v>
      </c>
    </row>
    <row r="1500" spans="1:26" x14ac:dyDescent="0.25">
      <c r="A1500">
        <v>747</v>
      </c>
      <c r="C1500">
        <v>12949</v>
      </c>
      <c r="D1500" t="s">
        <v>2342</v>
      </c>
      <c r="E1500" t="s">
        <v>2574</v>
      </c>
      <c r="F1500" t="s">
        <v>127</v>
      </c>
      <c r="G1500" t="s">
        <v>2575</v>
      </c>
      <c r="H1500" t="str">
        <f>"00739210"</f>
        <v>00739210</v>
      </c>
      <c r="I1500">
        <v>814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Y1500">
        <v>1</v>
      </c>
      <c r="Z1500">
        <v>814</v>
      </c>
    </row>
    <row r="1501" spans="1:26" x14ac:dyDescent="0.25">
      <c r="H1501" t="s">
        <v>2576</v>
      </c>
    </row>
    <row r="1502" spans="1:26" x14ac:dyDescent="0.25">
      <c r="A1502">
        <v>748</v>
      </c>
      <c r="C1502">
        <v>11820</v>
      </c>
      <c r="D1502" t="s">
        <v>2577</v>
      </c>
      <c r="E1502" t="s">
        <v>1851</v>
      </c>
      <c r="F1502" t="s">
        <v>204</v>
      </c>
      <c r="G1502" t="s">
        <v>2578</v>
      </c>
      <c r="H1502" t="str">
        <f>"00541407"</f>
        <v>00541407</v>
      </c>
      <c r="I1502">
        <v>814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Y1502">
        <v>0</v>
      </c>
      <c r="Z1502">
        <v>814</v>
      </c>
    </row>
    <row r="1503" spans="1:26" x14ac:dyDescent="0.25">
      <c r="H1503" t="s">
        <v>2579</v>
      </c>
    </row>
    <row r="1504" spans="1:26" x14ac:dyDescent="0.25">
      <c r="A1504">
        <v>749</v>
      </c>
      <c r="C1504">
        <v>197</v>
      </c>
      <c r="D1504" t="s">
        <v>2580</v>
      </c>
      <c r="E1504" t="s">
        <v>67</v>
      </c>
      <c r="F1504" t="s">
        <v>73</v>
      </c>
      <c r="G1504" t="s">
        <v>2581</v>
      </c>
      <c r="H1504" t="str">
        <f>"00488507"</f>
        <v>00488507</v>
      </c>
      <c r="I1504">
        <v>783.2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30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0</v>
      </c>
      <c r="Y1504">
        <v>0</v>
      </c>
      <c r="Z1504">
        <v>813.2</v>
      </c>
    </row>
    <row r="1505" spans="1:26" x14ac:dyDescent="0.25">
      <c r="H1505" t="s">
        <v>2582</v>
      </c>
    </row>
    <row r="1506" spans="1:26" x14ac:dyDescent="0.25">
      <c r="A1506">
        <v>750</v>
      </c>
      <c r="C1506">
        <v>10999</v>
      </c>
      <c r="D1506" t="s">
        <v>2583</v>
      </c>
      <c r="E1506" t="s">
        <v>2584</v>
      </c>
      <c r="F1506" t="s">
        <v>194</v>
      </c>
      <c r="G1506" t="s">
        <v>2585</v>
      </c>
      <c r="H1506" t="str">
        <f>"201502000820"</f>
        <v>201502000820</v>
      </c>
      <c r="I1506">
        <v>783.2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30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Y1506">
        <v>0</v>
      </c>
      <c r="Z1506">
        <v>813.2</v>
      </c>
    </row>
    <row r="1507" spans="1:26" x14ac:dyDescent="0.25">
      <c r="H1507" t="s">
        <v>2586</v>
      </c>
    </row>
    <row r="1508" spans="1:26" x14ac:dyDescent="0.25">
      <c r="A1508">
        <v>751</v>
      </c>
      <c r="C1508">
        <v>16452</v>
      </c>
      <c r="D1508" t="s">
        <v>2587</v>
      </c>
      <c r="E1508" t="s">
        <v>178</v>
      </c>
      <c r="F1508" t="s">
        <v>73</v>
      </c>
      <c r="G1508" t="s">
        <v>2588</v>
      </c>
      <c r="H1508" t="str">
        <f>"201511023384"</f>
        <v>201511023384</v>
      </c>
      <c r="I1508">
        <v>782.1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30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Y1508">
        <v>1</v>
      </c>
      <c r="Z1508">
        <v>812.1</v>
      </c>
    </row>
    <row r="1509" spans="1:26" x14ac:dyDescent="0.25">
      <c r="H1509" t="s">
        <v>2589</v>
      </c>
    </row>
    <row r="1510" spans="1:26" x14ac:dyDescent="0.25">
      <c r="A1510">
        <v>752</v>
      </c>
      <c r="C1510">
        <v>13116</v>
      </c>
      <c r="D1510" t="s">
        <v>2590</v>
      </c>
      <c r="E1510" t="s">
        <v>395</v>
      </c>
      <c r="F1510" t="s">
        <v>298</v>
      </c>
      <c r="G1510" t="s">
        <v>2591</v>
      </c>
      <c r="H1510" t="str">
        <f>"00502448"</f>
        <v>00502448</v>
      </c>
      <c r="I1510">
        <v>782.1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30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Y1510">
        <v>0</v>
      </c>
      <c r="Z1510">
        <v>812.1</v>
      </c>
    </row>
    <row r="1511" spans="1:26" x14ac:dyDescent="0.25">
      <c r="H1511" t="s">
        <v>2592</v>
      </c>
    </row>
    <row r="1512" spans="1:26" x14ac:dyDescent="0.25">
      <c r="A1512">
        <v>753</v>
      </c>
      <c r="B1512" t="s">
        <v>2593</v>
      </c>
      <c r="C1512">
        <v>5741</v>
      </c>
      <c r="D1512" t="s">
        <v>2594</v>
      </c>
      <c r="E1512" t="s">
        <v>112</v>
      </c>
      <c r="F1512" t="s">
        <v>39</v>
      </c>
      <c r="G1512" t="s">
        <v>2595</v>
      </c>
      <c r="H1512" t="str">
        <f>"201511036771"</f>
        <v>201511036771</v>
      </c>
      <c r="I1512">
        <v>811.8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Y1512">
        <v>2</v>
      </c>
      <c r="Z1512">
        <v>811.8</v>
      </c>
    </row>
    <row r="1513" spans="1:26" x14ac:dyDescent="0.25">
      <c r="H1513" t="s">
        <v>2596</v>
      </c>
    </row>
    <row r="1514" spans="1:26" x14ac:dyDescent="0.25">
      <c r="A1514">
        <v>754</v>
      </c>
      <c r="C1514">
        <v>11023</v>
      </c>
      <c r="D1514" t="s">
        <v>2597</v>
      </c>
      <c r="E1514" t="s">
        <v>634</v>
      </c>
      <c r="F1514" t="s">
        <v>90</v>
      </c>
      <c r="G1514" t="s">
        <v>2598</v>
      </c>
      <c r="H1514" t="str">
        <f>"201511033188"</f>
        <v>201511033188</v>
      </c>
      <c r="I1514">
        <v>811.8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Y1514">
        <v>0</v>
      </c>
      <c r="Z1514">
        <v>811.8</v>
      </c>
    </row>
    <row r="1515" spans="1:26" x14ac:dyDescent="0.25">
      <c r="H1515" t="s">
        <v>2599</v>
      </c>
    </row>
    <row r="1516" spans="1:26" x14ac:dyDescent="0.25">
      <c r="A1516">
        <v>755</v>
      </c>
      <c r="C1516">
        <v>11716</v>
      </c>
      <c r="D1516" t="s">
        <v>2600</v>
      </c>
      <c r="E1516" t="s">
        <v>2601</v>
      </c>
      <c r="F1516" t="s">
        <v>73</v>
      </c>
      <c r="G1516" t="s">
        <v>2602</v>
      </c>
      <c r="H1516" t="str">
        <f>"00234830"</f>
        <v>00234830</v>
      </c>
      <c r="I1516">
        <v>741.4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70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Y1516">
        <v>0</v>
      </c>
      <c r="Z1516">
        <v>811.4</v>
      </c>
    </row>
    <row r="1517" spans="1:26" x14ac:dyDescent="0.25">
      <c r="H1517" t="s">
        <v>2603</v>
      </c>
    </row>
    <row r="1518" spans="1:26" x14ac:dyDescent="0.25">
      <c r="A1518">
        <v>756</v>
      </c>
      <c r="C1518">
        <v>3839</v>
      </c>
      <c r="D1518" t="s">
        <v>2604</v>
      </c>
      <c r="E1518" t="s">
        <v>2605</v>
      </c>
      <c r="F1518" t="s">
        <v>133</v>
      </c>
      <c r="G1518" t="s">
        <v>2606</v>
      </c>
      <c r="H1518" t="str">
        <f>"201511016418"</f>
        <v>201511016418</v>
      </c>
      <c r="I1518">
        <v>781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30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Y1518">
        <v>0</v>
      </c>
      <c r="Z1518">
        <v>811</v>
      </c>
    </row>
    <row r="1519" spans="1:26" x14ac:dyDescent="0.25">
      <c r="H1519" t="s">
        <v>2607</v>
      </c>
    </row>
    <row r="1520" spans="1:26" x14ac:dyDescent="0.25">
      <c r="A1520">
        <v>757</v>
      </c>
      <c r="C1520">
        <v>10474</v>
      </c>
      <c r="D1520" t="s">
        <v>2608</v>
      </c>
      <c r="E1520" t="s">
        <v>298</v>
      </c>
      <c r="F1520" t="s">
        <v>1677</v>
      </c>
      <c r="G1520" t="s">
        <v>2609</v>
      </c>
      <c r="H1520" t="str">
        <f>"00658445"</f>
        <v>00658445</v>
      </c>
      <c r="I1520">
        <v>781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30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Y1520">
        <v>0</v>
      </c>
      <c r="Z1520">
        <v>811</v>
      </c>
    </row>
    <row r="1521" spans="1:26" x14ac:dyDescent="0.25">
      <c r="H1521" t="s">
        <v>176</v>
      </c>
    </row>
    <row r="1522" spans="1:26" x14ac:dyDescent="0.25">
      <c r="A1522">
        <v>758</v>
      </c>
      <c r="C1522">
        <v>12362</v>
      </c>
      <c r="D1522" t="s">
        <v>2610</v>
      </c>
      <c r="E1522" t="s">
        <v>1132</v>
      </c>
      <c r="F1522" t="s">
        <v>78</v>
      </c>
      <c r="G1522" t="s">
        <v>2611</v>
      </c>
      <c r="H1522" t="str">
        <f>"00531054"</f>
        <v>00531054</v>
      </c>
      <c r="I1522">
        <v>781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30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Y1522">
        <v>0</v>
      </c>
      <c r="Z1522">
        <v>811</v>
      </c>
    </row>
    <row r="1523" spans="1:26" x14ac:dyDescent="0.25">
      <c r="H1523" t="s">
        <v>2612</v>
      </c>
    </row>
    <row r="1524" spans="1:26" x14ac:dyDescent="0.25">
      <c r="A1524">
        <v>759</v>
      </c>
      <c r="C1524">
        <v>13916</v>
      </c>
      <c r="D1524" t="s">
        <v>2613</v>
      </c>
      <c r="E1524" t="s">
        <v>2614</v>
      </c>
      <c r="F1524" t="s">
        <v>127</v>
      </c>
      <c r="G1524" t="s">
        <v>2615</v>
      </c>
      <c r="H1524" t="str">
        <f>"201511038183"</f>
        <v>201511038183</v>
      </c>
      <c r="I1524">
        <v>781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30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Y1524">
        <v>0</v>
      </c>
      <c r="Z1524">
        <v>811</v>
      </c>
    </row>
    <row r="1525" spans="1:26" x14ac:dyDescent="0.25">
      <c r="H1525" t="s">
        <v>2616</v>
      </c>
    </row>
    <row r="1526" spans="1:26" x14ac:dyDescent="0.25">
      <c r="A1526">
        <v>760</v>
      </c>
      <c r="C1526">
        <v>5308</v>
      </c>
      <c r="D1526" t="s">
        <v>2617</v>
      </c>
      <c r="E1526" t="s">
        <v>164</v>
      </c>
      <c r="F1526" t="s">
        <v>965</v>
      </c>
      <c r="G1526" t="s">
        <v>2618</v>
      </c>
      <c r="H1526" t="str">
        <f>"201511032775"</f>
        <v>201511032775</v>
      </c>
      <c r="I1526">
        <v>781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30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Y1526">
        <v>0</v>
      </c>
      <c r="Z1526">
        <v>811</v>
      </c>
    </row>
    <row r="1527" spans="1:26" x14ac:dyDescent="0.25">
      <c r="H1527" t="s">
        <v>2619</v>
      </c>
    </row>
    <row r="1528" spans="1:26" x14ac:dyDescent="0.25">
      <c r="A1528">
        <v>761</v>
      </c>
      <c r="C1528">
        <v>997</v>
      </c>
      <c r="D1528" t="s">
        <v>2620</v>
      </c>
      <c r="E1528" t="s">
        <v>365</v>
      </c>
      <c r="F1528" t="s">
        <v>39</v>
      </c>
      <c r="G1528" t="s">
        <v>2621</v>
      </c>
      <c r="H1528" t="str">
        <f>"201511037812"</f>
        <v>201511037812</v>
      </c>
      <c r="I1528">
        <v>810.7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Y1528">
        <v>0</v>
      </c>
      <c r="Z1528">
        <v>810.7</v>
      </c>
    </row>
    <row r="1529" spans="1:26" x14ac:dyDescent="0.25">
      <c r="H1529" t="s">
        <v>2622</v>
      </c>
    </row>
    <row r="1530" spans="1:26" x14ac:dyDescent="0.25">
      <c r="A1530">
        <v>762</v>
      </c>
      <c r="C1530">
        <v>14768</v>
      </c>
      <c r="D1530" t="s">
        <v>2623</v>
      </c>
      <c r="E1530" t="s">
        <v>73</v>
      </c>
      <c r="F1530" t="s">
        <v>16</v>
      </c>
      <c r="G1530" t="s">
        <v>2624</v>
      </c>
      <c r="H1530" t="str">
        <f>"00049309"</f>
        <v>00049309</v>
      </c>
      <c r="I1530">
        <v>810.7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Y1530">
        <v>0</v>
      </c>
      <c r="Z1530">
        <v>810.7</v>
      </c>
    </row>
    <row r="1531" spans="1:26" x14ac:dyDescent="0.25">
      <c r="H1531" t="s">
        <v>2625</v>
      </c>
    </row>
    <row r="1532" spans="1:26" x14ac:dyDescent="0.25">
      <c r="A1532">
        <v>763</v>
      </c>
      <c r="C1532">
        <v>209</v>
      </c>
      <c r="D1532" t="s">
        <v>2626</v>
      </c>
      <c r="E1532" t="s">
        <v>67</v>
      </c>
      <c r="F1532" t="s">
        <v>204</v>
      </c>
      <c r="G1532" t="s">
        <v>2627</v>
      </c>
      <c r="H1532" t="str">
        <f>"201511032034"</f>
        <v>201511032034</v>
      </c>
      <c r="I1532">
        <v>810.7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Y1532">
        <v>0</v>
      </c>
      <c r="Z1532">
        <v>810.7</v>
      </c>
    </row>
    <row r="1533" spans="1:26" x14ac:dyDescent="0.25">
      <c r="H1533" t="s">
        <v>2628</v>
      </c>
    </row>
    <row r="1534" spans="1:26" x14ac:dyDescent="0.25">
      <c r="A1534">
        <v>764</v>
      </c>
      <c r="B1534" t="s">
        <v>783</v>
      </c>
      <c r="C1534">
        <v>7622</v>
      </c>
      <c r="D1534" t="s">
        <v>2629</v>
      </c>
      <c r="E1534" t="s">
        <v>965</v>
      </c>
      <c r="F1534" t="s">
        <v>723</v>
      </c>
      <c r="G1534" t="s">
        <v>2630</v>
      </c>
      <c r="H1534" t="str">
        <f>"201511014389"</f>
        <v>201511014389</v>
      </c>
      <c r="I1534">
        <v>810.7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Y1534">
        <v>1</v>
      </c>
      <c r="Z1534">
        <v>810.7</v>
      </c>
    </row>
    <row r="1535" spans="1:26" x14ac:dyDescent="0.25">
      <c r="H1535" t="s">
        <v>2631</v>
      </c>
    </row>
    <row r="1536" spans="1:26" x14ac:dyDescent="0.25">
      <c r="A1536">
        <v>765</v>
      </c>
      <c r="C1536">
        <v>13463</v>
      </c>
      <c r="D1536" t="s">
        <v>2632</v>
      </c>
      <c r="E1536" t="s">
        <v>354</v>
      </c>
      <c r="F1536" t="s">
        <v>39</v>
      </c>
      <c r="G1536" t="s">
        <v>2633</v>
      </c>
      <c r="H1536" t="str">
        <f>"201511012428"</f>
        <v>201511012428</v>
      </c>
      <c r="I1536">
        <v>750.2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30</v>
      </c>
      <c r="P1536">
        <v>0</v>
      </c>
      <c r="Q1536">
        <v>30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Y1536">
        <v>0</v>
      </c>
      <c r="Z1536">
        <v>810.2</v>
      </c>
    </row>
    <row r="1537" spans="1:26" x14ac:dyDescent="0.25">
      <c r="H1537" t="s">
        <v>2634</v>
      </c>
    </row>
    <row r="1538" spans="1:26" x14ac:dyDescent="0.25">
      <c r="A1538">
        <v>766</v>
      </c>
      <c r="C1538">
        <v>2947</v>
      </c>
      <c r="D1538" t="s">
        <v>2635</v>
      </c>
      <c r="E1538" t="s">
        <v>127</v>
      </c>
      <c r="F1538" t="s">
        <v>590</v>
      </c>
      <c r="G1538" t="s">
        <v>2636</v>
      </c>
      <c r="H1538" t="str">
        <f>"201511023528"</f>
        <v>201511023528</v>
      </c>
      <c r="I1538">
        <v>779.9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30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Y1538">
        <v>0</v>
      </c>
      <c r="Z1538">
        <v>809.9</v>
      </c>
    </row>
    <row r="1539" spans="1:26" x14ac:dyDescent="0.25">
      <c r="H1539" t="s">
        <v>2637</v>
      </c>
    </row>
    <row r="1540" spans="1:26" x14ac:dyDescent="0.25">
      <c r="A1540">
        <v>767</v>
      </c>
      <c r="C1540">
        <v>9373</v>
      </c>
      <c r="D1540" t="s">
        <v>2638</v>
      </c>
      <c r="E1540" t="s">
        <v>67</v>
      </c>
      <c r="F1540" t="s">
        <v>16</v>
      </c>
      <c r="G1540" t="s">
        <v>2639</v>
      </c>
      <c r="H1540" t="str">
        <f>"201510001705"</f>
        <v>201510001705</v>
      </c>
      <c r="I1540">
        <v>779.9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30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Y1540">
        <v>0</v>
      </c>
      <c r="Z1540">
        <v>809.9</v>
      </c>
    </row>
    <row r="1541" spans="1:26" x14ac:dyDescent="0.25">
      <c r="H1541" t="s">
        <v>2640</v>
      </c>
    </row>
    <row r="1542" spans="1:26" x14ac:dyDescent="0.25">
      <c r="A1542">
        <v>768</v>
      </c>
      <c r="C1542">
        <v>12370</v>
      </c>
      <c r="D1542" t="s">
        <v>2641</v>
      </c>
      <c r="E1542" t="s">
        <v>2310</v>
      </c>
      <c r="F1542" t="s">
        <v>1040</v>
      </c>
      <c r="G1542" t="s">
        <v>2642</v>
      </c>
      <c r="H1542" t="str">
        <f>"00070124"</f>
        <v>00070124</v>
      </c>
      <c r="I1542">
        <v>779.9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Y1542">
        <v>0</v>
      </c>
      <c r="Z1542">
        <v>809.9</v>
      </c>
    </row>
    <row r="1543" spans="1:26" x14ac:dyDescent="0.25">
      <c r="H1543" t="s">
        <v>2643</v>
      </c>
    </row>
    <row r="1544" spans="1:26" x14ac:dyDescent="0.25">
      <c r="A1544">
        <v>769</v>
      </c>
      <c r="C1544">
        <v>14745</v>
      </c>
      <c r="D1544" t="s">
        <v>2644</v>
      </c>
      <c r="E1544" t="s">
        <v>2645</v>
      </c>
      <c r="F1544" t="s">
        <v>39</v>
      </c>
      <c r="G1544" t="s">
        <v>2646</v>
      </c>
      <c r="H1544" t="str">
        <f>"201511035485"</f>
        <v>201511035485</v>
      </c>
      <c r="I1544">
        <v>759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50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Y1544">
        <v>0</v>
      </c>
      <c r="Z1544">
        <v>809</v>
      </c>
    </row>
    <row r="1545" spans="1:26" x14ac:dyDescent="0.25">
      <c r="H1545" t="s">
        <v>2647</v>
      </c>
    </row>
    <row r="1546" spans="1:26" x14ac:dyDescent="0.25">
      <c r="A1546">
        <v>770</v>
      </c>
      <c r="C1546">
        <v>1118</v>
      </c>
      <c r="D1546" t="s">
        <v>2648</v>
      </c>
      <c r="E1546" t="s">
        <v>2649</v>
      </c>
      <c r="F1546" t="s">
        <v>73</v>
      </c>
      <c r="G1546" t="s">
        <v>2650</v>
      </c>
      <c r="H1546" t="str">
        <f>"00085281"</f>
        <v>00085281</v>
      </c>
      <c r="I1546">
        <v>759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50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Y1546">
        <v>0</v>
      </c>
      <c r="Z1546">
        <v>809</v>
      </c>
    </row>
    <row r="1547" spans="1:26" x14ac:dyDescent="0.25">
      <c r="H1547" t="s">
        <v>2651</v>
      </c>
    </row>
    <row r="1548" spans="1:26" x14ac:dyDescent="0.25">
      <c r="A1548">
        <v>771</v>
      </c>
      <c r="C1548">
        <v>13767</v>
      </c>
      <c r="D1548" t="s">
        <v>2652</v>
      </c>
      <c r="E1548" t="s">
        <v>50</v>
      </c>
      <c r="F1548" t="s">
        <v>302</v>
      </c>
      <c r="G1548" t="s">
        <v>2653</v>
      </c>
      <c r="H1548" t="str">
        <f>"201511012277"</f>
        <v>201511012277</v>
      </c>
      <c r="I1548">
        <v>778.8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30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Y1548">
        <v>0</v>
      </c>
      <c r="Z1548">
        <v>808.8</v>
      </c>
    </row>
    <row r="1549" spans="1:26" x14ac:dyDescent="0.25">
      <c r="H1549" t="s">
        <v>2654</v>
      </c>
    </row>
    <row r="1550" spans="1:26" x14ac:dyDescent="0.25">
      <c r="A1550">
        <v>772</v>
      </c>
      <c r="C1550">
        <v>13188</v>
      </c>
      <c r="D1550" t="s">
        <v>2655</v>
      </c>
      <c r="E1550" t="s">
        <v>56</v>
      </c>
      <c r="F1550" t="s">
        <v>583</v>
      </c>
      <c r="G1550" t="s">
        <v>2656</v>
      </c>
      <c r="H1550" t="str">
        <f>"201511023497"</f>
        <v>201511023497</v>
      </c>
      <c r="I1550">
        <v>808.5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Y1550">
        <v>0</v>
      </c>
      <c r="Z1550">
        <v>808.5</v>
      </c>
    </row>
    <row r="1551" spans="1:26" x14ac:dyDescent="0.25">
      <c r="H1551" t="s">
        <v>2657</v>
      </c>
    </row>
    <row r="1552" spans="1:26" x14ac:dyDescent="0.25">
      <c r="A1552">
        <v>773</v>
      </c>
      <c r="C1552">
        <v>5973</v>
      </c>
      <c r="D1552" t="s">
        <v>2658</v>
      </c>
      <c r="E1552" t="s">
        <v>1435</v>
      </c>
      <c r="F1552" t="s">
        <v>90</v>
      </c>
      <c r="G1552" t="s">
        <v>2659</v>
      </c>
      <c r="H1552" t="str">
        <f>"201402004673"</f>
        <v>201402004673</v>
      </c>
      <c r="I1552">
        <v>808.5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Y1552">
        <v>0</v>
      </c>
      <c r="Z1552">
        <v>808.5</v>
      </c>
    </row>
    <row r="1553" spans="1:26" x14ac:dyDescent="0.25">
      <c r="H1553" t="s">
        <v>2660</v>
      </c>
    </row>
    <row r="1554" spans="1:26" x14ac:dyDescent="0.25">
      <c r="A1554">
        <v>774</v>
      </c>
      <c r="C1554">
        <v>17574</v>
      </c>
      <c r="D1554" t="s">
        <v>761</v>
      </c>
      <c r="E1554" t="s">
        <v>1560</v>
      </c>
      <c r="F1554" t="s">
        <v>2661</v>
      </c>
      <c r="G1554" t="s">
        <v>2662</v>
      </c>
      <c r="H1554" t="str">
        <f>"201511034348"</f>
        <v>201511034348</v>
      </c>
      <c r="I1554">
        <v>748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30</v>
      </c>
      <c r="P1554">
        <v>0</v>
      </c>
      <c r="Q1554">
        <v>30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Y1554">
        <v>0</v>
      </c>
      <c r="Z1554">
        <v>808</v>
      </c>
    </row>
    <row r="1555" spans="1:26" x14ac:dyDescent="0.25">
      <c r="H1555" t="s">
        <v>2663</v>
      </c>
    </row>
    <row r="1556" spans="1:26" x14ac:dyDescent="0.25">
      <c r="A1556">
        <v>775</v>
      </c>
      <c r="C1556">
        <v>4211</v>
      </c>
      <c r="D1556" t="s">
        <v>2664</v>
      </c>
      <c r="E1556" t="s">
        <v>16</v>
      </c>
      <c r="F1556" t="s">
        <v>79</v>
      </c>
      <c r="G1556" t="s">
        <v>2665</v>
      </c>
      <c r="H1556" t="str">
        <f>"00641620"</f>
        <v>00641620</v>
      </c>
      <c r="I1556">
        <v>777.7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30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Y1556">
        <v>0</v>
      </c>
      <c r="Z1556">
        <v>807.7</v>
      </c>
    </row>
    <row r="1557" spans="1:26" x14ac:dyDescent="0.25">
      <c r="H1557" t="s">
        <v>2666</v>
      </c>
    </row>
    <row r="1558" spans="1:26" x14ac:dyDescent="0.25">
      <c r="A1558">
        <v>776</v>
      </c>
      <c r="C1558">
        <v>3946</v>
      </c>
      <c r="D1558" t="s">
        <v>2667</v>
      </c>
      <c r="E1558" t="s">
        <v>117</v>
      </c>
      <c r="F1558" t="s">
        <v>73</v>
      </c>
      <c r="G1558" t="s">
        <v>2668</v>
      </c>
      <c r="H1558" t="str">
        <f>"00674788"</f>
        <v>00674788</v>
      </c>
      <c r="I1558">
        <v>777.7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Y1558">
        <v>1</v>
      </c>
      <c r="Z1558">
        <v>807.7</v>
      </c>
    </row>
    <row r="1559" spans="1:26" x14ac:dyDescent="0.25">
      <c r="H1559" t="s">
        <v>2669</v>
      </c>
    </row>
    <row r="1560" spans="1:26" x14ac:dyDescent="0.25">
      <c r="A1560">
        <v>777</v>
      </c>
      <c r="C1560">
        <v>10316</v>
      </c>
      <c r="D1560" t="s">
        <v>2670</v>
      </c>
      <c r="E1560" t="s">
        <v>248</v>
      </c>
      <c r="F1560" t="s">
        <v>144</v>
      </c>
      <c r="G1560" t="s">
        <v>2671</v>
      </c>
      <c r="H1560" t="str">
        <f>"00472247"</f>
        <v>00472247</v>
      </c>
      <c r="I1560">
        <v>777.7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30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Y1560">
        <v>0</v>
      </c>
      <c r="Z1560">
        <v>807.7</v>
      </c>
    </row>
    <row r="1561" spans="1:26" x14ac:dyDescent="0.25">
      <c r="H1561" t="s">
        <v>2672</v>
      </c>
    </row>
    <row r="1562" spans="1:26" x14ac:dyDescent="0.25">
      <c r="A1562">
        <v>778</v>
      </c>
      <c r="C1562">
        <v>12997</v>
      </c>
      <c r="D1562" t="s">
        <v>2673</v>
      </c>
      <c r="E1562" t="s">
        <v>2674</v>
      </c>
      <c r="F1562" t="s">
        <v>51</v>
      </c>
      <c r="G1562" t="s">
        <v>2675</v>
      </c>
      <c r="H1562" t="str">
        <f>"00494369"</f>
        <v>00494369</v>
      </c>
      <c r="I1562">
        <v>777.7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30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Y1562">
        <v>2</v>
      </c>
      <c r="Z1562">
        <v>807.7</v>
      </c>
    </row>
    <row r="1563" spans="1:26" x14ac:dyDescent="0.25">
      <c r="H1563" t="s">
        <v>2676</v>
      </c>
    </row>
    <row r="1564" spans="1:26" x14ac:dyDescent="0.25">
      <c r="A1564">
        <v>779</v>
      </c>
      <c r="C1564">
        <v>2651</v>
      </c>
      <c r="D1564" t="s">
        <v>2677</v>
      </c>
      <c r="E1564" t="s">
        <v>256</v>
      </c>
      <c r="F1564" t="s">
        <v>1255</v>
      </c>
      <c r="G1564" t="s">
        <v>2678</v>
      </c>
      <c r="H1564" t="str">
        <f>"201512000652"</f>
        <v>201512000652</v>
      </c>
      <c r="I1564">
        <v>807.4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Y1564">
        <v>0</v>
      </c>
      <c r="Z1564">
        <v>807.4</v>
      </c>
    </row>
    <row r="1565" spans="1:26" x14ac:dyDescent="0.25">
      <c r="H1565" t="s">
        <v>2679</v>
      </c>
    </row>
    <row r="1566" spans="1:26" x14ac:dyDescent="0.25">
      <c r="A1566">
        <v>780</v>
      </c>
      <c r="C1566">
        <v>41</v>
      </c>
      <c r="D1566" t="s">
        <v>2680</v>
      </c>
      <c r="E1566" t="s">
        <v>1802</v>
      </c>
      <c r="F1566" t="s">
        <v>73</v>
      </c>
      <c r="G1566" t="s">
        <v>2681</v>
      </c>
      <c r="H1566" t="str">
        <f>"201402012520"</f>
        <v>201402012520</v>
      </c>
      <c r="I1566">
        <v>806.3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Y1566">
        <v>0</v>
      </c>
      <c r="Z1566">
        <v>806.3</v>
      </c>
    </row>
    <row r="1567" spans="1:26" x14ac:dyDescent="0.25">
      <c r="H1567" t="s">
        <v>2682</v>
      </c>
    </row>
    <row r="1568" spans="1:26" x14ac:dyDescent="0.25">
      <c r="A1568">
        <v>781</v>
      </c>
      <c r="C1568">
        <v>11100</v>
      </c>
      <c r="D1568" t="s">
        <v>2683</v>
      </c>
      <c r="E1568" t="s">
        <v>73</v>
      </c>
      <c r="F1568" t="s">
        <v>204</v>
      </c>
      <c r="G1568" t="s">
        <v>2684</v>
      </c>
      <c r="H1568" t="str">
        <f>"201511039005"</f>
        <v>201511039005</v>
      </c>
      <c r="I1568">
        <v>806.3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Y1568">
        <v>0</v>
      </c>
      <c r="Z1568">
        <v>806.3</v>
      </c>
    </row>
    <row r="1569" spans="1:26" x14ac:dyDescent="0.25">
      <c r="H1569" t="s">
        <v>2685</v>
      </c>
    </row>
    <row r="1570" spans="1:26" x14ac:dyDescent="0.25">
      <c r="A1570">
        <v>782</v>
      </c>
      <c r="C1570">
        <v>14307</v>
      </c>
      <c r="D1570" t="s">
        <v>2686</v>
      </c>
      <c r="E1570" t="s">
        <v>51</v>
      </c>
      <c r="F1570" t="s">
        <v>16</v>
      </c>
      <c r="G1570" t="s">
        <v>2687</v>
      </c>
      <c r="H1570" t="str">
        <f>"201511036690"</f>
        <v>201511036690</v>
      </c>
      <c r="I1570">
        <v>775.5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30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Y1570">
        <v>0</v>
      </c>
      <c r="Z1570">
        <v>805.5</v>
      </c>
    </row>
    <row r="1571" spans="1:26" x14ac:dyDescent="0.25">
      <c r="H1571" t="s">
        <v>2688</v>
      </c>
    </row>
    <row r="1572" spans="1:26" x14ac:dyDescent="0.25">
      <c r="A1572">
        <v>783</v>
      </c>
      <c r="C1572">
        <v>11242</v>
      </c>
      <c r="D1572" t="s">
        <v>2689</v>
      </c>
      <c r="E1572" t="s">
        <v>248</v>
      </c>
      <c r="F1572" t="s">
        <v>16</v>
      </c>
      <c r="G1572" t="s">
        <v>2690</v>
      </c>
      <c r="H1572" t="str">
        <f>"201012000036"</f>
        <v>201012000036</v>
      </c>
      <c r="I1572">
        <v>775.5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30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Y1572">
        <v>0</v>
      </c>
      <c r="Z1572">
        <v>805.5</v>
      </c>
    </row>
    <row r="1573" spans="1:26" x14ac:dyDescent="0.25">
      <c r="H1573" t="s">
        <v>2691</v>
      </c>
    </row>
    <row r="1574" spans="1:26" x14ac:dyDescent="0.25">
      <c r="A1574">
        <v>784</v>
      </c>
      <c r="C1574">
        <v>14967</v>
      </c>
      <c r="D1574" t="s">
        <v>2692</v>
      </c>
      <c r="E1574" t="s">
        <v>2693</v>
      </c>
      <c r="F1574" t="s">
        <v>39</v>
      </c>
      <c r="G1574" t="s">
        <v>2694</v>
      </c>
      <c r="H1574" t="str">
        <f>"201511027217"</f>
        <v>201511027217</v>
      </c>
      <c r="I1574">
        <v>775.5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30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Y1574">
        <v>0</v>
      </c>
      <c r="Z1574">
        <v>805.5</v>
      </c>
    </row>
    <row r="1575" spans="1:26" x14ac:dyDescent="0.25">
      <c r="H1575" t="s">
        <v>2695</v>
      </c>
    </row>
    <row r="1576" spans="1:26" x14ac:dyDescent="0.25">
      <c r="A1576">
        <v>785</v>
      </c>
      <c r="C1576">
        <v>1294</v>
      </c>
      <c r="D1576" t="s">
        <v>2696</v>
      </c>
      <c r="E1576" t="s">
        <v>73</v>
      </c>
      <c r="F1576" t="s">
        <v>16</v>
      </c>
      <c r="G1576" t="s">
        <v>2697</v>
      </c>
      <c r="H1576" t="str">
        <f>"00024553"</f>
        <v>00024553</v>
      </c>
      <c r="I1576">
        <v>775.5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30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Y1576">
        <v>0</v>
      </c>
      <c r="Z1576">
        <v>805.5</v>
      </c>
    </row>
    <row r="1577" spans="1:26" x14ac:dyDescent="0.25">
      <c r="H1577" t="s">
        <v>2698</v>
      </c>
    </row>
    <row r="1578" spans="1:26" x14ac:dyDescent="0.25">
      <c r="A1578">
        <v>786</v>
      </c>
      <c r="C1578">
        <v>5311</v>
      </c>
      <c r="D1578" t="s">
        <v>2699</v>
      </c>
      <c r="E1578" t="s">
        <v>208</v>
      </c>
      <c r="F1578" t="s">
        <v>90</v>
      </c>
      <c r="G1578" t="s">
        <v>2700</v>
      </c>
      <c r="H1578" t="str">
        <f>"00502068"</f>
        <v>00502068</v>
      </c>
      <c r="I1578">
        <v>775.5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30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Y1578">
        <v>1</v>
      </c>
      <c r="Z1578">
        <v>805.5</v>
      </c>
    </row>
    <row r="1579" spans="1:26" x14ac:dyDescent="0.25">
      <c r="H1579" t="s">
        <v>2701</v>
      </c>
    </row>
    <row r="1580" spans="1:26" x14ac:dyDescent="0.25">
      <c r="A1580">
        <v>787</v>
      </c>
      <c r="C1580">
        <v>17044</v>
      </c>
      <c r="D1580" t="s">
        <v>2702</v>
      </c>
      <c r="E1580" t="s">
        <v>98</v>
      </c>
      <c r="F1580" t="s">
        <v>51</v>
      </c>
      <c r="G1580" t="s">
        <v>2703</v>
      </c>
      <c r="H1580" t="str">
        <f>"00025041"</f>
        <v>00025041</v>
      </c>
      <c r="I1580">
        <v>805.2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0</v>
      </c>
      <c r="Y1580">
        <v>0</v>
      </c>
      <c r="Z1580">
        <v>805.2</v>
      </c>
    </row>
    <row r="1581" spans="1:26" x14ac:dyDescent="0.25">
      <c r="H1581" t="s">
        <v>2704</v>
      </c>
    </row>
    <row r="1582" spans="1:26" x14ac:dyDescent="0.25">
      <c r="A1582">
        <v>788</v>
      </c>
      <c r="C1582">
        <v>7711</v>
      </c>
      <c r="D1582" t="s">
        <v>2705</v>
      </c>
      <c r="E1582" t="s">
        <v>16</v>
      </c>
      <c r="F1582" t="s">
        <v>90</v>
      </c>
      <c r="G1582" t="s">
        <v>2706</v>
      </c>
      <c r="H1582" t="str">
        <f>"00035884"</f>
        <v>00035884</v>
      </c>
      <c r="I1582">
        <v>805.2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Y1582">
        <v>0</v>
      </c>
      <c r="Z1582">
        <v>805.2</v>
      </c>
    </row>
    <row r="1583" spans="1:26" x14ac:dyDescent="0.25">
      <c r="H1583" t="s">
        <v>2707</v>
      </c>
    </row>
    <row r="1584" spans="1:26" x14ac:dyDescent="0.25">
      <c r="A1584">
        <v>789</v>
      </c>
      <c r="C1584">
        <v>9085</v>
      </c>
      <c r="D1584" t="s">
        <v>1296</v>
      </c>
      <c r="E1584" t="s">
        <v>415</v>
      </c>
      <c r="F1584" t="s">
        <v>194</v>
      </c>
      <c r="G1584" t="s">
        <v>2708</v>
      </c>
      <c r="H1584" t="str">
        <f>"201511028736"</f>
        <v>201511028736</v>
      </c>
      <c r="I1584">
        <v>774.4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30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Y1584">
        <v>0</v>
      </c>
      <c r="Z1584">
        <v>804.4</v>
      </c>
    </row>
    <row r="1585" spans="1:26" x14ac:dyDescent="0.25">
      <c r="H1585" t="s">
        <v>2709</v>
      </c>
    </row>
    <row r="1586" spans="1:26" x14ac:dyDescent="0.25">
      <c r="A1586">
        <v>790</v>
      </c>
      <c r="C1586">
        <v>11574</v>
      </c>
      <c r="D1586" t="s">
        <v>2710</v>
      </c>
      <c r="E1586" t="s">
        <v>16</v>
      </c>
      <c r="F1586" t="s">
        <v>1255</v>
      </c>
      <c r="G1586" t="s">
        <v>2711</v>
      </c>
      <c r="H1586" t="str">
        <f>"00656962"</f>
        <v>00656962</v>
      </c>
      <c r="I1586">
        <v>774.4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30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Y1586">
        <v>0</v>
      </c>
      <c r="Z1586">
        <v>804.4</v>
      </c>
    </row>
    <row r="1587" spans="1:26" x14ac:dyDescent="0.25">
      <c r="H1587" t="s">
        <v>2712</v>
      </c>
    </row>
    <row r="1588" spans="1:26" x14ac:dyDescent="0.25">
      <c r="A1588">
        <v>791</v>
      </c>
      <c r="C1588">
        <v>13786</v>
      </c>
      <c r="D1588" t="s">
        <v>2713</v>
      </c>
      <c r="E1588" t="s">
        <v>2714</v>
      </c>
      <c r="F1588" t="s">
        <v>113</v>
      </c>
      <c r="G1588" t="s">
        <v>2715</v>
      </c>
      <c r="H1588" t="str">
        <f>"00285791"</f>
        <v>00285791</v>
      </c>
      <c r="I1588">
        <v>774.4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30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Y1588">
        <v>0</v>
      </c>
      <c r="Z1588">
        <v>804.4</v>
      </c>
    </row>
    <row r="1589" spans="1:26" x14ac:dyDescent="0.25">
      <c r="H1589" t="s">
        <v>2716</v>
      </c>
    </row>
    <row r="1590" spans="1:26" x14ac:dyDescent="0.25">
      <c r="A1590">
        <v>792</v>
      </c>
      <c r="C1590">
        <v>7461</v>
      </c>
      <c r="D1590" t="s">
        <v>2717</v>
      </c>
      <c r="E1590" t="s">
        <v>170</v>
      </c>
      <c r="F1590" t="s">
        <v>194</v>
      </c>
      <c r="G1590" t="s">
        <v>2718</v>
      </c>
      <c r="H1590" t="str">
        <f>"00497495"</f>
        <v>00497495</v>
      </c>
      <c r="I1590">
        <v>774.4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30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Y1590">
        <v>1</v>
      </c>
      <c r="Z1590">
        <v>804.4</v>
      </c>
    </row>
    <row r="1591" spans="1:26" x14ac:dyDescent="0.25">
      <c r="H1591" t="s">
        <v>2719</v>
      </c>
    </row>
    <row r="1592" spans="1:26" x14ac:dyDescent="0.25">
      <c r="A1592">
        <v>793</v>
      </c>
      <c r="C1592">
        <v>1693</v>
      </c>
      <c r="D1592" t="s">
        <v>2720</v>
      </c>
      <c r="E1592" t="s">
        <v>2721</v>
      </c>
      <c r="F1592" t="s">
        <v>194</v>
      </c>
      <c r="G1592" t="s">
        <v>2722</v>
      </c>
      <c r="H1592" t="str">
        <f>"00461173"</f>
        <v>00461173</v>
      </c>
      <c r="I1592">
        <v>774.4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30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Y1592">
        <v>0</v>
      </c>
      <c r="Z1592">
        <v>804.4</v>
      </c>
    </row>
    <row r="1593" spans="1:26" x14ac:dyDescent="0.25">
      <c r="H1593" t="s">
        <v>2723</v>
      </c>
    </row>
    <row r="1594" spans="1:26" x14ac:dyDescent="0.25">
      <c r="A1594">
        <v>794</v>
      </c>
      <c r="C1594">
        <v>2424</v>
      </c>
      <c r="D1594" t="s">
        <v>2724</v>
      </c>
      <c r="E1594" t="s">
        <v>56</v>
      </c>
      <c r="F1594" t="s">
        <v>138</v>
      </c>
      <c r="G1594" t="s">
        <v>2725</v>
      </c>
      <c r="H1594" t="str">
        <f>"201511032044"</f>
        <v>201511032044</v>
      </c>
      <c r="I1594">
        <v>804.1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Y1594">
        <v>2</v>
      </c>
      <c r="Z1594">
        <v>804.1</v>
      </c>
    </row>
    <row r="1595" spans="1:26" x14ac:dyDescent="0.25">
      <c r="H1595" t="s">
        <v>2726</v>
      </c>
    </row>
    <row r="1596" spans="1:26" x14ac:dyDescent="0.25">
      <c r="A1596">
        <v>795</v>
      </c>
      <c r="C1596">
        <v>2151</v>
      </c>
      <c r="D1596" t="s">
        <v>2727</v>
      </c>
      <c r="E1596" t="s">
        <v>354</v>
      </c>
      <c r="F1596" t="s">
        <v>148</v>
      </c>
      <c r="G1596" t="s">
        <v>2728</v>
      </c>
      <c r="H1596" t="str">
        <f>"201510002161"</f>
        <v>201510002161</v>
      </c>
      <c r="I1596">
        <v>804.1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Y1596">
        <v>0</v>
      </c>
      <c r="Z1596">
        <v>804.1</v>
      </c>
    </row>
    <row r="1597" spans="1:26" x14ac:dyDescent="0.25">
      <c r="H1597" t="s">
        <v>2729</v>
      </c>
    </row>
    <row r="1598" spans="1:26" x14ac:dyDescent="0.25">
      <c r="A1598">
        <v>796</v>
      </c>
      <c r="C1598">
        <v>6745</v>
      </c>
      <c r="D1598" t="s">
        <v>2730</v>
      </c>
      <c r="E1598" t="s">
        <v>1428</v>
      </c>
      <c r="F1598" t="s">
        <v>148</v>
      </c>
      <c r="G1598" t="s">
        <v>2731</v>
      </c>
      <c r="H1598" t="str">
        <f>"00737766"</f>
        <v>00737766</v>
      </c>
      <c r="I1598">
        <v>804.1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Y1598">
        <v>0</v>
      </c>
      <c r="Z1598">
        <v>804.1</v>
      </c>
    </row>
    <row r="1599" spans="1:26" x14ac:dyDescent="0.25">
      <c r="H1599" t="s">
        <v>176</v>
      </c>
    </row>
    <row r="1600" spans="1:26" x14ac:dyDescent="0.25">
      <c r="A1600">
        <v>797</v>
      </c>
      <c r="C1600">
        <v>8889</v>
      </c>
      <c r="D1600" t="s">
        <v>2732</v>
      </c>
      <c r="E1600" t="s">
        <v>2733</v>
      </c>
      <c r="F1600" t="s">
        <v>2734</v>
      </c>
      <c r="G1600" t="s">
        <v>2735</v>
      </c>
      <c r="H1600" t="str">
        <f>"00674228"</f>
        <v>00674228</v>
      </c>
      <c r="I1600">
        <v>804.1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Y1600">
        <v>0</v>
      </c>
      <c r="Z1600">
        <v>804.1</v>
      </c>
    </row>
    <row r="1601" spans="1:26" x14ac:dyDescent="0.25">
      <c r="H1601" t="s">
        <v>2736</v>
      </c>
    </row>
    <row r="1602" spans="1:26" x14ac:dyDescent="0.25">
      <c r="A1602">
        <v>798</v>
      </c>
      <c r="C1602">
        <v>10610</v>
      </c>
      <c r="D1602" t="s">
        <v>1541</v>
      </c>
      <c r="E1602" t="s">
        <v>2737</v>
      </c>
      <c r="F1602" t="s">
        <v>51</v>
      </c>
      <c r="G1602" t="s">
        <v>2738</v>
      </c>
      <c r="H1602" t="str">
        <f>"201511014782"</f>
        <v>201511014782</v>
      </c>
      <c r="I1602">
        <v>773.3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30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0</v>
      </c>
      <c r="Y1602">
        <v>0</v>
      </c>
      <c r="Z1602">
        <v>803.3</v>
      </c>
    </row>
    <row r="1603" spans="1:26" x14ac:dyDescent="0.25">
      <c r="H1603" t="s">
        <v>2739</v>
      </c>
    </row>
    <row r="1604" spans="1:26" x14ac:dyDescent="0.25">
      <c r="A1604">
        <v>799</v>
      </c>
      <c r="C1604">
        <v>2534</v>
      </c>
      <c r="D1604" t="s">
        <v>2349</v>
      </c>
      <c r="E1604" t="s">
        <v>1841</v>
      </c>
      <c r="F1604" t="s">
        <v>84</v>
      </c>
      <c r="G1604" t="s">
        <v>2740</v>
      </c>
      <c r="H1604" t="str">
        <f>"00727938"</f>
        <v>00727938</v>
      </c>
      <c r="I1604">
        <v>773.3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30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Y1604">
        <v>2</v>
      </c>
      <c r="Z1604">
        <v>803.3</v>
      </c>
    </row>
    <row r="1605" spans="1:26" x14ac:dyDescent="0.25">
      <c r="H1605" t="s">
        <v>2741</v>
      </c>
    </row>
    <row r="1606" spans="1:26" x14ac:dyDescent="0.25">
      <c r="A1606">
        <v>800</v>
      </c>
      <c r="C1606">
        <v>11128</v>
      </c>
      <c r="D1606" t="s">
        <v>2742</v>
      </c>
      <c r="E1606" t="s">
        <v>38</v>
      </c>
      <c r="F1606" t="s">
        <v>73</v>
      </c>
      <c r="G1606" t="s">
        <v>2743</v>
      </c>
      <c r="H1606" t="str">
        <f>"201511024812"</f>
        <v>201511024812</v>
      </c>
      <c r="I1606">
        <v>803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Y1606">
        <v>0</v>
      </c>
      <c r="Z1606">
        <v>803</v>
      </c>
    </row>
    <row r="1607" spans="1:26" x14ac:dyDescent="0.25">
      <c r="H1607" t="s">
        <v>2744</v>
      </c>
    </row>
    <row r="1608" spans="1:26" x14ac:dyDescent="0.25">
      <c r="A1608">
        <v>801</v>
      </c>
      <c r="C1608">
        <v>5727</v>
      </c>
      <c r="D1608" t="s">
        <v>2745</v>
      </c>
      <c r="E1608" t="s">
        <v>89</v>
      </c>
      <c r="F1608" t="s">
        <v>90</v>
      </c>
      <c r="G1608" t="s">
        <v>2746</v>
      </c>
      <c r="H1608" t="str">
        <f>"201402012552"</f>
        <v>201402012552</v>
      </c>
      <c r="I1608">
        <v>772.2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30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Y1608">
        <v>0</v>
      </c>
      <c r="Z1608">
        <v>802.2</v>
      </c>
    </row>
    <row r="1609" spans="1:26" x14ac:dyDescent="0.25">
      <c r="H1609" t="s">
        <v>2747</v>
      </c>
    </row>
    <row r="1610" spans="1:26" x14ac:dyDescent="0.25">
      <c r="A1610">
        <v>802</v>
      </c>
      <c r="C1610">
        <v>5448</v>
      </c>
      <c r="D1610" t="s">
        <v>1519</v>
      </c>
      <c r="E1610" t="s">
        <v>248</v>
      </c>
      <c r="F1610" t="s">
        <v>1677</v>
      </c>
      <c r="G1610" t="s">
        <v>2748</v>
      </c>
      <c r="H1610" t="str">
        <f>"201511023545"</f>
        <v>201511023545</v>
      </c>
      <c r="I1610">
        <v>772.2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30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Y1610">
        <v>0</v>
      </c>
      <c r="Z1610">
        <v>802.2</v>
      </c>
    </row>
    <row r="1611" spans="1:26" x14ac:dyDescent="0.25">
      <c r="H1611" t="s">
        <v>2749</v>
      </c>
    </row>
    <row r="1612" spans="1:26" x14ac:dyDescent="0.25">
      <c r="A1612">
        <v>803</v>
      </c>
      <c r="C1612">
        <v>14267</v>
      </c>
      <c r="D1612" t="s">
        <v>2750</v>
      </c>
      <c r="E1612" t="s">
        <v>1370</v>
      </c>
      <c r="F1612" t="s">
        <v>2664</v>
      </c>
      <c r="G1612" t="s">
        <v>2751</v>
      </c>
      <c r="H1612" t="str">
        <f>"00498003"</f>
        <v>00498003</v>
      </c>
      <c r="I1612">
        <v>772.2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30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Y1612">
        <v>0</v>
      </c>
      <c r="Z1612">
        <v>802.2</v>
      </c>
    </row>
    <row r="1613" spans="1:26" x14ac:dyDescent="0.25">
      <c r="H1613" t="s">
        <v>2752</v>
      </c>
    </row>
    <row r="1614" spans="1:26" x14ac:dyDescent="0.25">
      <c r="A1614">
        <v>804</v>
      </c>
      <c r="C1614">
        <v>17535</v>
      </c>
      <c r="D1614" t="s">
        <v>1794</v>
      </c>
      <c r="E1614" t="s">
        <v>39</v>
      </c>
      <c r="F1614" t="s">
        <v>193</v>
      </c>
      <c r="G1614" t="s">
        <v>2753</v>
      </c>
      <c r="H1614" t="str">
        <f>"00744267"</f>
        <v>00744267</v>
      </c>
      <c r="I1614">
        <v>801.9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0</v>
      </c>
      <c r="Y1614">
        <v>0</v>
      </c>
      <c r="Z1614">
        <v>801.9</v>
      </c>
    </row>
    <row r="1615" spans="1:26" x14ac:dyDescent="0.25">
      <c r="H1615" t="s">
        <v>2754</v>
      </c>
    </row>
    <row r="1616" spans="1:26" x14ac:dyDescent="0.25">
      <c r="A1616">
        <v>805</v>
      </c>
      <c r="C1616">
        <v>11390</v>
      </c>
      <c r="D1616" t="s">
        <v>2755</v>
      </c>
      <c r="E1616" t="s">
        <v>132</v>
      </c>
      <c r="F1616" t="s">
        <v>2756</v>
      </c>
      <c r="G1616" t="s">
        <v>2757</v>
      </c>
      <c r="H1616" t="str">
        <f>"201511033445"</f>
        <v>201511033445</v>
      </c>
      <c r="I1616">
        <v>801.9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Y1616">
        <v>0</v>
      </c>
      <c r="Z1616">
        <v>801.9</v>
      </c>
    </row>
    <row r="1617" spans="1:26" x14ac:dyDescent="0.25">
      <c r="H1617" t="s">
        <v>2758</v>
      </c>
    </row>
    <row r="1618" spans="1:26" x14ac:dyDescent="0.25">
      <c r="A1618">
        <v>806</v>
      </c>
      <c r="C1618">
        <v>878</v>
      </c>
      <c r="D1618" t="s">
        <v>2759</v>
      </c>
      <c r="E1618" t="s">
        <v>170</v>
      </c>
      <c r="F1618" t="s">
        <v>342</v>
      </c>
      <c r="G1618" t="s">
        <v>2760</v>
      </c>
      <c r="H1618" t="str">
        <f>"00672280"</f>
        <v>00672280</v>
      </c>
      <c r="I1618">
        <v>801.9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Y1618">
        <v>1</v>
      </c>
      <c r="Z1618">
        <v>801.9</v>
      </c>
    </row>
    <row r="1619" spans="1:26" x14ac:dyDescent="0.25">
      <c r="H1619" t="s">
        <v>2761</v>
      </c>
    </row>
    <row r="1620" spans="1:26" x14ac:dyDescent="0.25">
      <c r="A1620">
        <v>807</v>
      </c>
      <c r="C1620">
        <v>10392</v>
      </c>
      <c r="D1620" t="s">
        <v>2762</v>
      </c>
      <c r="E1620" t="s">
        <v>248</v>
      </c>
      <c r="F1620" t="s">
        <v>84</v>
      </c>
      <c r="G1620" t="s">
        <v>2763</v>
      </c>
      <c r="H1620" t="str">
        <f>"201511035558"</f>
        <v>201511035558</v>
      </c>
      <c r="I1620">
        <v>771.1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30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Y1620">
        <v>0</v>
      </c>
      <c r="Z1620">
        <v>801.1</v>
      </c>
    </row>
    <row r="1621" spans="1:26" x14ac:dyDescent="0.25">
      <c r="H1621" t="s">
        <v>2764</v>
      </c>
    </row>
    <row r="1622" spans="1:26" x14ac:dyDescent="0.25">
      <c r="A1622">
        <v>808</v>
      </c>
      <c r="C1622">
        <v>8340</v>
      </c>
      <c r="D1622" t="s">
        <v>2765</v>
      </c>
      <c r="E1622" t="s">
        <v>264</v>
      </c>
      <c r="F1622" t="s">
        <v>78</v>
      </c>
      <c r="G1622" t="s">
        <v>2766</v>
      </c>
      <c r="H1622" t="str">
        <f>"201511025179"</f>
        <v>201511025179</v>
      </c>
      <c r="I1622">
        <v>771.1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30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Y1622">
        <v>0</v>
      </c>
      <c r="Z1622">
        <v>801.1</v>
      </c>
    </row>
    <row r="1623" spans="1:26" x14ac:dyDescent="0.25">
      <c r="H1623" t="s">
        <v>2767</v>
      </c>
    </row>
    <row r="1624" spans="1:26" x14ac:dyDescent="0.25">
      <c r="A1624">
        <v>809</v>
      </c>
      <c r="C1624">
        <v>10725</v>
      </c>
      <c r="D1624" t="s">
        <v>2768</v>
      </c>
      <c r="E1624" t="s">
        <v>108</v>
      </c>
      <c r="F1624" t="s">
        <v>194</v>
      </c>
      <c r="G1624" t="s">
        <v>2769</v>
      </c>
      <c r="H1624" t="str">
        <f>"201511034109"</f>
        <v>201511034109</v>
      </c>
      <c r="I1624">
        <v>771.1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30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Y1624">
        <v>0</v>
      </c>
      <c r="Z1624">
        <v>801.1</v>
      </c>
    </row>
    <row r="1625" spans="1:26" x14ac:dyDescent="0.25">
      <c r="H1625" t="s">
        <v>2770</v>
      </c>
    </row>
    <row r="1626" spans="1:26" x14ac:dyDescent="0.25">
      <c r="A1626">
        <v>810</v>
      </c>
      <c r="C1626">
        <v>2217</v>
      </c>
      <c r="D1626" t="s">
        <v>2771</v>
      </c>
      <c r="E1626" t="s">
        <v>194</v>
      </c>
      <c r="F1626" t="s">
        <v>51</v>
      </c>
      <c r="G1626" t="s">
        <v>2772</v>
      </c>
      <c r="H1626" t="str">
        <f>"201511043092"</f>
        <v>201511043092</v>
      </c>
      <c r="I1626">
        <v>771.1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30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Y1626">
        <v>0</v>
      </c>
      <c r="Z1626">
        <v>801.1</v>
      </c>
    </row>
    <row r="1627" spans="1:26" x14ac:dyDescent="0.25">
      <c r="H1627" t="s">
        <v>2773</v>
      </c>
    </row>
    <row r="1628" spans="1:26" x14ac:dyDescent="0.25">
      <c r="A1628">
        <v>811</v>
      </c>
      <c r="C1628">
        <v>11151</v>
      </c>
      <c r="D1628" t="s">
        <v>2774</v>
      </c>
      <c r="E1628" t="s">
        <v>687</v>
      </c>
      <c r="F1628" t="s">
        <v>16</v>
      </c>
      <c r="G1628" t="s">
        <v>2775</v>
      </c>
      <c r="H1628" t="str">
        <f>"201102000005"</f>
        <v>201102000005</v>
      </c>
      <c r="I1628">
        <v>800.8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Y1628">
        <v>0</v>
      </c>
      <c r="Z1628">
        <v>800.8</v>
      </c>
    </row>
    <row r="1629" spans="1:26" x14ac:dyDescent="0.25">
      <c r="H1629" t="s">
        <v>2776</v>
      </c>
    </row>
    <row r="1630" spans="1:26" x14ac:dyDescent="0.25">
      <c r="A1630">
        <v>812</v>
      </c>
      <c r="C1630">
        <v>10356</v>
      </c>
      <c r="D1630" t="s">
        <v>2777</v>
      </c>
      <c r="E1630" t="s">
        <v>1943</v>
      </c>
      <c r="F1630" t="s">
        <v>165</v>
      </c>
      <c r="G1630" t="s">
        <v>2778</v>
      </c>
      <c r="H1630" t="str">
        <f>"00473840"</f>
        <v>00473840</v>
      </c>
      <c r="I1630">
        <v>800.8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Y1630">
        <v>0</v>
      </c>
      <c r="Z1630">
        <v>800.8</v>
      </c>
    </row>
    <row r="1631" spans="1:26" x14ac:dyDescent="0.25">
      <c r="H1631" t="s">
        <v>2779</v>
      </c>
    </row>
    <row r="1632" spans="1:26" x14ac:dyDescent="0.25">
      <c r="A1632">
        <v>813</v>
      </c>
      <c r="C1632">
        <v>3183</v>
      </c>
      <c r="D1632" t="s">
        <v>2780</v>
      </c>
      <c r="E1632" t="s">
        <v>112</v>
      </c>
      <c r="F1632" t="s">
        <v>90</v>
      </c>
      <c r="G1632" t="s">
        <v>2781</v>
      </c>
      <c r="H1632" t="str">
        <f>"00506281"</f>
        <v>00506281</v>
      </c>
      <c r="I1632">
        <v>800.8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Y1632">
        <v>0</v>
      </c>
      <c r="Z1632">
        <v>800.8</v>
      </c>
    </row>
    <row r="1633" spans="1:26" x14ac:dyDescent="0.25">
      <c r="H1633" t="s">
        <v>2782</v>
      </c>
    </row>
    <row r="1634" spans="1:26" x14ac:dyDescent="0.25">
      <c r="A1634">
        <v>814</v>
      </c>
      <c r="C1634">
        <v>6451</v>
      </c>
      <c r="D1634" t="s">
        <v>2783</v>
      </c>
      <c r="E1634" t="s">
        <v>84</v>
      </c>
      <c r="F1634" t="s">
        <v>148</v>
      </c>
      <c r="G1634" t="s">
        <v>2784</v>
      </c>
      <c r="H1634" t="str">
        <f>"201511030595"</f>
        <v>201511030595</v>
      </c>
      <c r="I1634">
        <v>750.2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50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Y1634">
        <v>0</v>
      </c>
      <c r="Z1634">
        <v>800.2</v>
      </c>
    </row>
    <row r="1635" spans="1:26" x14ac:dyDescent="0.25">
      <c r="H1635" t="s">
        <v>2785</v>
      </c>
    </row>
    <row r="1636" spans="1:26" x14ac:dyDescent="0.25">
      <c r="A1636">
        <v>815</v>
      </c>
      <c r="C1636">
        <v>6528</v>
      </c>
      <c r="D1636" t="s">
        <v>2786</v>
      </c>
      <c r="E1636" t="s">
        <v>89</v>
      </c>
      <c r="F1636" t="s">
        <v>127</v>
      </c>
      <c r="G1636" t="s">
        <v>2787</v>
      </c>
      <c r="H1636" t="str">
        <f>"201511035610"</f>
        <v>201511035610</v>
      </c>
      <c r="I1636">
        <v>750.2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50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Y1636">
        <v>0</v>
      </c>
      <c r="Z1636">
        <v>800.2</v>
      </c>
    </row>
    <row r="1637" spans="1:26" x14ac:dyDescent="0.25">
      <c r="H1637" t="s">
        <v>2788</v>
      </c>
    </row>
    <row r="1638" spans="1:26" x14ac:dyDescent="0.25">
      <c r="A1638">
        <v>816</v>
      </c>
      <c r="C1638">
        <v>6552</v>
      </c>
      <c r="D1638" t="s">
        <v>2789</v>
      </c>
      <c r="E1638" t="s">
        <v>821</v>
      </c>
      <c r="F1638" t="s">
        <v>842</v>
      </c>
      <c r="G1638" t="s">
        <v>2790</v>
      </c>
      <c r="H1638" t="str">
        <f>"201511008625"</f>
        <v>201511008625</v>
      </c>
      <c r="I1638">
        <v>770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30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Y1638">
        <v>0</v>
      </c>
      <c r="Z1638">
        <v>800</v>
      </c>
    </row>
    <row r="1639" spans="1:26" x14ac:dyDescent="0.25">
      <c r="H1639" t="s">
        <v>2791</v>
      </c>
    </row>
    <row r="1640" spans="1:26" x14ac:dyDescent="0.25">
      <c r="A1640">
        <v>817</v>
      </c>
      <c r="C1640">
        <v>1652</v>
      </c>
      <c r="D1640" t="s">
        <v>2792</v>
      </c>
      <c r="E1640" t="s">
        <v>2793</v>
      </c>
      <c r="F1640" t="s">
        <v>73</v>
      </c>
      <c r="G1640" t="s">
        <v>2794</v>
      </c>
      <c r="H1640" t="str">
        <f>"201512001561"</f>
        <v>201512001561</v>
      </c>
      <c r="I1640">
        <v>770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30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Y1640">
        <v>0</v>
      </c>
      <c r="Z1640">
        <v>800</v>
      </c>
    </row>
    <row r="1641" spans="1:26" x14ac:dyDescent="0.25">
      <c r="H1641" t="s">
        <v>2795</v>
      </c>
    </row>
    <row r="1642" spans="1:26" x14ac:dyDescent="0.25">
      <c r="A1642">
        <v>818</v>
      </c>
      <c r="C1642">
        <v>12381</v>
      </c>
      <c r="D1642" t="s">
        <v>2796</v>
      </c>
      <c r="E1642" t="s">
        <v>50</v>
      </c>
      <c r="F1642" t="s">
        <v>16</v>
      </c>
      <c r="G1642" t="s">
        <v>2797</v>
      </c>
      <c r="H1642" t="str">
        <f>"201511035143"</f>
        <v>201511035143</v>
      </c>
      <c r="I1642">
        <v>770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30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Y1642">
        <v>0</v>
      </c>
      <c r="Z1642">
        <v>800</v>
      </c>
    </row>
    <row r="1643" spans="1:26" x14ac:dyDescent="0.25">
      <c r="H1643" t="s">
        <v>2798</v>
      </c>
    </row>
    <row r="1644" spans="1:26" x14ac:dyDescent="0.25">
      <c r="A1644">
        <v>819</v>
      </c>
      <c r="C1644">
        <v>15559</v>
      </c>
      <c r="D1644" t="s">
        <v>2799</v>
      </c>
      <c r="E1644" t="s">
        <v>1155</v>
      </c>
      <c r="F1644" t="s">
        <v>342</v>
      </c>
      <c r="G1644" t="s">
        <v>2800</v>
      </c>
      <c r="H1644" t="str">
        <f>"201511010271"</f>
        <v>201511010271</v>
      </c>
      <c r="I1644">
        <v>770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30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Y1644">
        <v>0</v>
      </c>
      <c r="Z1644">
        <v>800</v>
      </c>
    </row>
    <row r="1645" spans="1:26" x14ac:dyDescent="0.25">
      <c r="H1645" t="s">
        <v>2801</v>
      </c>
    </row>
    <row r="1646" spans="1:26" x14ac:dyDescent="0.25">
      <c r="A1646">
        <v>820</v>
      </c>
      <c r="C1646">
        <v>3133</v>
      </c>
      <c r="D1646" t="s">
        <v>2802</v>
      </c>
      <c r="E1646" t="s">
        <v>2803</v>
      </c>
      <c r="F1646" t="s">
        <v>39</v>
      </c>
      <c r="G1646" t="s">
        <v>2804</v>
      </c>
      <c r="H1646" t="str">
        <f>"00667923"</f>
        <v>00667923</v>
      </c>
      <c r="I1646">
        <v>770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30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Y1646">
        <v>0</v>
      </c>
      <c r="Z1646">
        <v>800</v>
      </c>
    </row>
    <row r="1647" spans="1:26" x14ac:dyDescent="0.25">
      <c r="H1647" t="s">
        <v>2805</v>
      </c>
    </row>
    <row r="1648" spans="1:26" x14ac:dyDescent="0.25">
      <c r="A1648">
        <v>821</v>
      </c>
      <c r="C1648">
        <v>4771</v>
      </c>
      <c r="D1648" t="s">
        <v>2806</v>
      </c>
      <c r="E1648" t="s">
        <v>112</v>
      </c>
      <c r="F1648" t="s">
        <v>148</v>
      </c>
      <c r="G1648" t="s">
        <v>2807</v>
      </c>
      <c r="H1648" t="str">
        <f>"201511011404"</f>
        <v>201511011404</v>
      </c>
      <c r="I1648">
        <v>799.7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Y1648">
        <v>0</v>
      </c>
      <c r="Z1648">
        <v>799.7</v>
      </c>
    </row>
    <row r="1649" spans="1:26" x14ac:dyDescent="0.25">
      <c r="H1649" t="s">
        <v>2808</v>
      </c>
    </row>
    <row r="1650" spans="1:26" x14ac:dyDescent="0.25">
      <c r="A1650">
        <v>822</v>
      </c>
      <c r="C1650">
        <v>12359</v>
      </c>
      <c r="D1650" t="s">
        <v>2809</v>
      </c>
      <c r="E1650" t="s">
        <v>314</v>
      </c>
      <c r="F1650" t="s">
        <v>73</v>
      </c>
      <c r="G1650" t="s">
        <v>2810</v>
      </c>
      <c r="H1650" t="str">
        <f>"201511005473"</f>
        <v>201511005473</v>
      </c>
      <c r="I1650">
        <v>799.7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Y1650">
        <v>0</v>
      </c>
      <c r="Z1650">
        <v>799.7</v>
      </c>
    </row>
    <row r="1651" spans="1:26" x14ac:dyDescent="0.25">
      <c r="H1651" t="s">
        <v>2811</v>
      </c>
    </row>
    <row r="1652" spans="1:26" x14ac:dyDescent="0.25">
      <c r="A1652">
        <v>823</v>
      </c>
      <c r="C1652">
        <v>15269</v>
      </c>
      <c r="D1652" t="s">
        <v>2812</v>
      </c>
      <c r="E1652" t="s">
        <v>365</v>
      </c>
      <c r="F1652" t="s">
        <v>194</v>
      </c>
      <c r="G1652" t="s">
        <v>2813</v>
      </c>
      <c r="H1652" t="str">
        <f>"201511041391"</f>
        <v>201511041391</v>
      </c>
      <c r="I1652">
        <v>799.7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Y1652">
        <v>0</v>
      </c>
      <c r="Z1652">
        <v>799.7</v>
      </c>
    </row>
    <row r="1653" spans="1:26" x14ac:dyDescent="0.25">
      <c r="H1653" t="s">
        <v>2814</v>
      </c>
    </row>
    <row r="1654" spans="1:26" x14ac:dyDescent="0.25">
      <c r="A1654">
        <v>824</v>
      </c>
      <c r="C1654">
        <v>8906</v>
      </c>
      <c r="D1654" t="s">
        <v>2815</v>
      </c>
      <c r="E1654" t="s">
        <v>112</v>
      </c>
      <c r="F1654" t="s">
        <v>84</v>
      </c>
      <c r="G1654" t="s">
        <v>2816</v>
      </c>
      <c r="H1654" t="str">
        <f>"201511024468"</f>
        <v>201511024468</v>
      </c>
      <c r="I1654">
        <v>768.9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30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Y1654">
        <v>0</v>
      </c>
      <c r="Z1654">
        <v>798.9</v>
      </c>
    </row>
    <row r="1655" spans="1:26" x14ac:dyDescent="0.25">
      <c r="H1655" t="s">
        <v>2817</v>
      </c>
    </row>
    <row r="1656" spans="1:26" x14ac:dyDescent="0.25">
      <c r="A1656">
        <v>825</v>
      </c>
      <c r="C1656">
        <v>8330</v>
      </c>
      <c r="D1656" t="s">
        <v>2818</v>
      </c>
      <c r="E1656" t="s">
        <v>373</v>
      </c>
      <c r="F1656" t="s">
        <v>346</v>
      </c>
      <c r="G1656" t="s">
        <v>2819</v>
      </c>
      <c r="H1656" t="str">
        <f>"201511039751"</f>
        <v>201511039751</v>
      </c>
      <c r="I1656">
        <v>768.9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30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Y1656">
        <v>0</v>
      </c>
      <c r="Z1656">
        <v>798.9</v>
      </c>
    </row>
    <row r="1657" spans="1:26" x14ac:dyDescent="0.25">
      <c r="H1657" t="s">
        <v>2820</v>
      </c>
    </row>
    <row r="1658" spans="1:26" x14ac:dyDescent="0.25">
      <c r="A1658">
        <v>826</v>
      </c>
      <c r="C1658">
        <v>12449</v>
      </c>
      <c r="D1658" t="s">
        <v>2821</v>
      </c>
      <c r="E1658" t="s">
        <v>208</v>
      </c>
      <c r="F1658" t="s">
        <v>39</v>
      </c>
      <c r="G1658" t="s">
        <v>2822</v>
      </c>
      <c r="H1658" t="str">
        <f>"201511031528"</f>
        <v>201511031528</v>
      </c>
      <c r="I1658">
        <v>768.9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30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Y1658">
        <v>0</v>
      </c>
      <c r="Z1658">
        <v>798.9</v>
      </c>
    </row>
    <row r="1659" spans="1:26" x14ac:dyDescent="0.25">
      <c r="H1659" t="s">
        <v>2823</v>
      </c>
    </row>
    <row r="1660" spans="1:26" x14ac:dyDescent="0.25">
      <c r="A1660">
        <v>827</v>
      </c>
      <c r="C1660">
        <v>11437</v>
      </c>
      <c r="D1660" t="s">
        <v>2824</v>
      </c>
      <c r="E1660" t="s">
        <v>56</v>
      </c>
      <c r="F1660" t="s">
        <v>45</v>
      </c>
      <c r="G1660" t="s">
        <v>2825</v>
      </c>
      <c r="H1660" t="str">
        <f>"00738913"</f>
        <v>00738913</v>
      </c>
      <c r="I1660">
        <v>768.9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30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Y1660">
        <v>0</v>
      </c>
      <c r="Z1660">
        <v>798.9</v>
      </c>
    </row>
    <row r="1661" spans="1:26" x14ac:dyDescent="0.25">
      <c r="H1661" t="s">
        <v>2826</v>
      </c>
    </row>
    <row r="1662" spans="1:26" x14ac:dyDescent="0.25">
      <c r="A1662">
        <v>828</v>
      </c>
      <c r="C1662">
        <v>4282</v>
      </c>
      <c r="D1662" t="s">
        <v>2827</v>
      </c>
      <c r="E1662" t="s">
        <v>248</v>
      </c>
      <c r="F1662" t="s">
        <v>90</v>
      </c>
      <c r="G1662" t="s">
        <v>2828</v>
      </c>
      <c r="H1662" t="str">
        <f>"201511018737"</f>
        <v>201511018737</v>
      </c>
      <c r="I1662">
        <v>798.6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Y1662">
        <v>0</v>
      </c>
      <c r="Z1662">
        <v>798.6</v>
      </c>
    </row>
    <row r="1663" spans="1:26" x14ac:dyDescent="0.25">
      <c r="H1663" t="s">
        <v>2829</v>
      </c>
    </row>
    <row r="1664" spans="1:26" x14ac:dyDescent="0.25">
      <c r="A1664">
        <v>829</v>
      </c>
      <c r="C1664">
        <v>14534</v>
      </c>
      <c r="D1664" t="s">
        <v>2830</v>
      </c>
      <c r="E1664" t="s">
        <v>2674</v>
      </c>
      <c r="F1664" t="s">
        <v>127</v>
      </c>
      <c r="G1664" t="s">
        <v>2831</v>
      </c>
      <c r="H1664" t="str">
        <f>"201511031058"</f>
        <v>201511031058</v>
      </c>
      <c r="I1664">
        <v>798.6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Y1664">
        <v>0</v>
      </c>
      <c r="Z1664">
        <v>798.6</v>
      </c>
    </row>
    <row r="1665" spans="1:26" x14ac:dyDescent="0.25">
      <c r="H1665" t="s">
        <v>2832</v>
      </c>
    </row>
    <row r="1666" spans="1:26" x14ac:dyDescent="0.25">
      <c r="A1666">
        <v>830</v>
      </c>
      <c r="C1666">
        <v>10488</v>
      </c>
      <c r="D1666" t="s">
        <v>2833</v>
      </c>
      <c r="E1666" t="s">
        <v>1255</v>
      </c>
      <c r="F1666" t="s">
        <v>73</v>
      </c>
      <c r="G1666" t="s">
        <v>2834</v>
      </c>
      <c r="H1666" t="str">
        <f>"201402000657"</f>
        <v>201402000657</v>
      </c>
      <c r="I1666">
        <v>728.2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70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Y1666">
        <v>0</v>
      </c>
      <c r="Z1666">
        <v>798.2</v>
      </c>
    </row>
    <row r="1667" spans="1:26" x14ac:dyDescent="0.25">
      <c r="H1667" t="s">
        <v>2835</v>
      </c>
    </row>
    <row r="1668" spans="1:26" x14ac:dyDescent="0.25">
      <c r="A1668">
        <v>831</v>
      </c>
      <c r="C1668">
        <v>12452</v>
      </c>
      <c r="D1668" t="s">
        <v>2836</v>
      </c>
      <c r="E1668" t="s">
        <v>90</v>
      </c>
      <c r="F1668" t="s">
        <v>39</v>
      </c>
      <c r="G1668" t="s">
        <v>2837</v>
      </c>
      <c r="H1668" t="str">
        <f>"00499491"</f>
        <v>00499491</v>
      </c>
      <c r="I1668">
        <v>728.2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70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Y1668">
        <v>0</v>
      </c>
      <c r="Z1668">
        <v>798.2</v>
      </c>
    </row>
    <row r="1669" spans="1:26" x14ac:dyDescent="0.25">
      <c r="H1669" t="s">
        <v>2838</v>
      </c>
    </row>
    <row r="1670" spans="1:26" x14ac:dyDescent="0.25">
      <c r="A1670">
        <v>832</v>
      </c>
      <c r="C1670">
        <v>14664</v>
      </c>
      <c r="D1670" t="s">
        <v>2839</v>
      </c>
      <c r="E1670" t="s">
        <v>112</v>
      </c>
      <c r="F1670" t="s">
        <v>51</v>
      </c>
      <c r="G1670" t="s">
        <v>2840</v>
      </c>
      <c r="H1670" t="str">
        <f>"201402000776"</f>
        <v>201402000776</v>
      </c>
      <c r="I1670">
        <v>767.8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30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Y1670">
        <v>0</v>
      </c>
      <c r="Z1670">
        <v>797.8</v>
      </c>
    </row>
    <row r="1671" spans="1:26" x14ac:dyDescent="0.25">
      <c r="H1671" t="s">
        <v>2841</v>
      </c>
    </row>
    <row r="1672" spans="1:26" x14ac:dyDescent="0.25">
      <c r="A1672">
        <v>833</v>
      </c>
      <c r="C1672">
        <v>16208</v>
      </c>
      <c r="D1672" t="s">
        <v>2342</v>
      </c>
      <c r="E1672" t="s">
        <v>2842</v>
      </c>
      <c r="F1672" t="s">
        <v>354</v>
      </c>
      <c r="G1672" t="s">
        <v>2843</v>
      </c>
      <c r="H1672" t="str">
        <f>"00481504"</f>
        <v>00481504</v>
      </c>
      <c r="I1672">
        <v>767.8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30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Y1672">
        <v>0</v>
      </c>
      <c r="Z1672">
        <v>797.8</v>
      </c>
    </row>
    <row r="1673" spans="1:26" x14ac:dyDescent="0.25">
      <c r="H1673" t="s">
        <v>2844</v>
      </c>
    </row>
    <row r="1674" spans="1:26" x14ac:dyDescent="0.25">
      <c r="A1674">
        <v>834</v>
      </c>
      <c r="C1674">
        <v>12327</v>
      </c>
      <c r="D1674" t="s">
        <v>2845</v>
      </c>
      <c r="E1674" t="s">
        <v>133</v>
      </c>
      <c r="F1674" t="s">
        <v>73</v>
      </c>
      <c r="G1674" t="s">
        <v>2846</v>
      </c>
      <c r="H1674" t="str">
        <f>"00733958"</f>
        <v>00733958</v>
      </c>
      <c r="I1674">
        <v>767.8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30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Y1674">
        <v>0</v>
      </c>
      <c r="Z1674">
        <v>797.8</v>
      </c>
    </row>
    <row r="1675" spans="1:26" x14ac:dyDescent="0.25">
      <c r="H1675" t="s">
        <v>2847</v>
      </c>
    </row>
    <row r="1676" spans="1:26" x14ac:dyDescent="0.25">
      <c r="A1676">
        <v>835</v>
      </c>
      <c r="C1676">
        <v>11376</v>
      </c>
      <c r="D1676" t="s">
        <v>2848</v>
      </c>
      <c r="E1676" t="s">
        <v>2849</v>
      </c>
      <c r="F1676" t="s">
        <v>1440</v>
      </c>
      <c r="G1676" t="s">
        <v>2850</v>
      </c>
      <c r="H1676" t="str">
        <f>"201511033679"</f>
        <v>201511033679</v>
      </c>
      <c r="I1676">
        <v>797.5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Y1676">
        <v>0</v>
      </c>
      <c r="Z1676">
        <v>797.5</v>
      </c>
    </row>
    <row r="1677" spans="1:26" x14ac:dyDescent="0.25">
      <c r="H1677" t="s">
        <v>2851</v>
      </c>
    </row>
    <row r="1678" spans="1:26" x14ac:dyDescent="0.25">
      <c r="A1678">
        <v>836</v>
      </c>
      <c r="C1678">
        <v>4393</v>
      </c>
      <c r="D1678" t="s">
        <v>2852</v>
      </c>
      <c r="E1678" t="s">
        <v>107</v>
      </c>
      <c r="F1678" t="s">
        <v>16</v>
      </c>
      <c r="G1678" t="s">
        <v>2853</v>
      </c>
      <c r="H1678" t="str">
        <f>"00489166"</f>
        <v>00489166</v>
      </c>
      <c r="I1678">
        <v>797.5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Y1678">
        <v>0</v>
      </c>
      <c r="Z1678">
        <v>797.5</v>
      </c>
    </row>
    <row r="1679" spans="1:26" x14ac:dyDescent="0.25">
      <c r="H1679" t="s">
        <v>2854</v>
      </c>
    </row>
    <row r="1680" spans="1:26" x14ac:dyDescent="0.25">
      <c r="A1680">
        <v>837</v>
      </c>
      <c r="C1680">
        <v>10478</v>
      </c>
      <c r="D1680" t="s">
        <v>2855</v>
      </c>
      <c r="E1680" t="s">
        <v>138</v>
      </c>
      <c r="F1680" t="s">
        <v>127</v>
      </c>
      <c r="G1680" t="s">
        <v>2856</v>
      </c>
      <c r="H1680" t="str">
        <f>"201511032936"</f>
        <v>201511032936</v>
      </c>
      <c r="I1680">
        <v>766.7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30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Y1680">
        <v>0</v>
      </c>
      <c r="Z1680">
        <v>796.7</v>
      </c>
    </row>
    <row r="1681" spans="1:26" x14ac:dyDescent="0.25">
      <c r="H1681" t="s">
        <v>2857</v>
      </c>
    </row>
    <row r="1682" spans="1:26" x14ac:dyDescent="0.25">
      <c r="A1682">
        <v>838</v>
      </c>
      <c r="C1682">
        <v>11655</v>
      </c>
      <c r="D1682" t="s">
        <v>2858</v>
      </c>
      <c r="E1682" t="s">
        <v>2859</v>
      </c>
      <c r="F1682" t="s">
        <v>138</v>
      </c>
      <c r="G1682" t="s">
        <v>2860</v>
      </c>
      <c r="H1682" t="str">
        <f>"201511015100"</f>
        <v>201511015100</v>
      </c>
      <c r="I1682">
        <v>766.7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30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Y1682">
        <v>0</v>
      </c>
      <c r="Z1682">
        <v>796.7</v>
      </c>
    </row>
    <row r="1683" spans="1:26" x14ac:dyDescent="0.25">
      <c r="H1683" t="s">
        <v>2861</v>
      </c>
    </row>
    <row r="1684" spans="1:26" x14ac:dyDescent="0.25">
      <c r="A1684">
        <v>839</v>
      </c>
      <c r="C1684">
        <v>13299</v>
      </c>
      <c r="D1684" t="s">
        <v>2862</v>
      </c>
      <c r="E1684" t="s">
        <v>16</v>
      </c>
      <c r="F1684" t="s">
        <v>199</v>
      </c>
      <c r="G1684">
        <v>283578</v>
      </c>
      <c r="H1684" t="str">
        <f>"00682275"</f>
        <v>00682275</v>
      </c>
      <c r="I1684">
        <v>766.7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30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Y1684">
        <v>0</v>
      </c>
      <c r="Z1684">
        <v>796.7</v>
      </c>
    </row>
    <row r="1685" spans="1:26" x14ac:dyDescent="0.25">
      <c r="H1685" t="s">
        <v>2863</v>
      </c>
    </row>
    <row r="1686" spans="1:26" x14ac:dyDescent="0.25">
      <c r="A1686">
        <v>840</v>
      </c>
      <c r="C1686">
        <v>16046</v>
      </c>
      <c r="D1686" t="s">
        <v>2864</v>
      </c>
      <c r="E1686" t="s">
        <v>415</v>
      </c>
      <c r="F1686" t="s">
        <v>73</v>
      </c>
      <c r="G1686" t="s">
        <v>2865</v>
      </c>
      <c r="H1686" t="str">
        <f>"00443942"</f>
        <v>00443942</v>
      </c>
      <c r="I1686">
        <v>766.7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30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Y1686">
        <v>0</v>
      </c>
      <c r="Z1686">
        <v>796.7</v>
      </c>
    </row>
    <row r="1687" spans="1:26" x14ac:dyDescent="0.25">
      <c r="H1687" t="s">
        <v>2866</v>
      </c>
    </row>
    <row r="1688" spans="1:26" x14ac:dyDescent="0.25">
      <c r="A1688">
        <v>841</v>
      </c>
      <c r="C1688">
        <v>14557</v>
      </c>
      <c r="D1688" t="s">
        <v>2867</v>
      </c>
      <c r="E1688" t="s">
        <v>2868</v>
      </c>
      <c r="F1688" t="s">
        <v>73</v>
      </c>
      <c r="G1688" t="s">
        <v>2869</v>
      </c>
      <c r="H1688" t="str">
        <f>"201411001568"</f>
        <v>201411001568</v>
      </c>
      <c r="I1688">
        <v>796.4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Y1688">
        <v>0</v>
      </c>
      <c r="Z1688">
        <v>796.4</v>
      </c>
    </row>
    <row r="1689" spans="1:26" x14ac:dyDescent="0.25">
      <c r="H1689" t="s">
        <v>2870</v>
      </c>
    </row>
    <row r="1690" spans="1:26" x14ac:dyDescent="0.25">
      <c r="A1690">
        <v>842</v>
      </c>
      <c r="C1690">
        <v>16571</v>
      </c>
      <c r="D1690" t="s">
        <v>2871</v>
      </c>
      <c r="E1690" t="s">
        <v>50</v>
      </c>
      <c r="F1690" t="s">
        <v>194</v>
      </c>
      <c r="G1690" t="s">
        <v>2872</v>
      </c>
      <c r="H1690" t="str">
        <f>"200901000184"</f>
        <v>200901000184</v>
      </c>
      <c r="I1690">
        <v>735.9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30</v>
      </c>
      <c r="P1690">
        <v>0</v>
      </c>
      <c r="Q1690">
        <v>0</v>
      </c>
      <c r="R1690">
        <v>0</v>
      </c>
      <c r="S1690">
        <v>30</v>
      </c>
      <c r="T1690">
        <v>0</v>
      </c>
      <c r="U1690">
        <v>0</v>
      </c>
      <c r="V1690">
        <v>0</v>
      </c>
      <c r="W1690">
        <v>0</v>
      </c>
      <c r="Y1690">
        <v>0</v>
      </c>
      <c r="Z1690">
        <v>795.9</v>
      </c>
    </row>
    <row r="1691" spans="1:26" x14ac:dyDescent="0.25">
      <c r="H1691" t="s">
        <v>2873</v>
      </c>
    </row>
    <row r="1692" spans="1:26" x14ac:dyDescent="0.25">
      <c r="A1692">
        <v>843</v>
      </c>
      <c r="C1692">
        <v>15581</v>
      </c>
      <c r="D1692" t="s">
        <v>2874</v>
      </c>
      <c r="E1692" t="s">
        <v>730</v>
      </c>
      <c r="F1692" t="s">
        <v>199</v>
      </c>
      <c r="G1692" t="s">
        <v>2875</v>
      </c>
      <c r="H1692" t="str">
        <f>"00486726"</f>
        <v>00486726</v>
      </c>
      <c r="I1692">
        <v>765.6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30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Y1692">
        <v>0</v>
      </c>
      <c r="Z1692">
        <v>795.6</v>
      </c>
    </row>
    <row r="1693" spans="1:26" x14ac:dyDescent="0.25">
      <c r="H1693" t="s">
        <v>2876</v>
      </c>
    </row>
    <row r="1694" spans="1:26" x14ac:dyDescent="0.25">
      <c r="A1694">
        <v>844</v>
      </c>
      <c r="C1694">
        <v>4090</v>
      </c>
      <c r="D1694" t="s">
        <v>2877</v>
      </c>
      <c r="E1694" t="s">
        <v>39</v>
      </c>
      <c r="F1694" t="s">
        <v>90</v>
      </c>
      <c r="G1694" t="s">
        <v>2878</v>
      </c>
      <c r="H1694" t="str">
        <f>"00671009"</f>
        <v>00671009</v>
      </c>
      <c r="I1694">
        <v>765.6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30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Y1694">
        <v>2</v>
      </c>
      <c r="Z1694">
        <v>795.6</v>
      </c>
    </row>
    <row r="1695" spans="1:26" x14ac:dyDescent="0.25">
      <c r="H1695" t="s">
        <v>2879</v>
      </c>
    </row>
    <row r="1696" spans="1:26" x14ac:dyDescent="0.25">
      <c r="A1696">
        <v>845</v>
      </c>
      <c r="C1696">
        <v>13954</v>
      </c>
      <c r="D1696" t="s">
        <v>2880</v>
      </c>
      <c r="E1696" t="s">
        <v>235</v>
      </c>
      <c r="F1696" t="s">
        <v>16</v>
      </c>
      <c r="G1696" t="s">
        <v>2881</v>
      </c>
      <c r="H1696" t="str">
        <f>"201511039844"</f>
        <v>201511039844</v>
      </c>
      <c r="I1696">
        <v>795.3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Y1696">
        <v>0</v>
      </c>
      <c r="Z1696">
        <v>795.3</v>
      </c>
    </row>
    <row r="1697" spans="1:26" x14ac:dyDescent="0.25">
      <c r="H1697" t="s">
        <v>2882</v>
      </c>
    </row>
    <row r="1698" spans="1:26" x14ac:dyDescent="0.25">
      <c r="A1698">
        <v>846</v>
      </c>
      <c r="C1698">
        <v>3613</v>
      </c>
      <c r="D1698" t="s">
        <v>2883</v>
      </c>
      <c r="E1698" t="s">
        <v>1132</v>
      </c>
      <c r="F1698" t="s">
        <v>39</v>
      </c>
      <c r="G1698" t="s">
        <v>2884</v>
      </c>
      <c r="H1698" t="str">
        <f>"00018542"</f>
        <v>00018542</v>
      </c>
      <c r="I1698">
        <v>795.3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Y1698">
        <v>0</v>
      </c>
      <c r="Z1698">
        <v>795.3</v>
      </c>
    </row>
    <row r="1699" spans="1:26" x14ac:dyDescent="0.25">
      <c r="H1699" t="s">
        <v>2885</v>
      </c>
    </row>
    <row r="1700" spans="1:26" x14ac:dyDescent="0.25">
      <c r="A1700">
        <v>847</v>
      </c>
      <c r="C1700">
        <v>9068</v>
      </c>
      <c r="D1700" t="s">
        <v>2886</v>
      </c>
      <c r="E1700" t="s">
        <v>902</v>
      </c>
      <c r="F1700" t="s">
        <v>73</v>
      </c>
      <c r="G1700" t="s">
        <v>2887</v>
      </c>
      <c r="H1700" t="str">
        <f>"201511006933"</f>
        <v>201511006933</v>
      </c>
      <c r="I1700">
        <v>795.3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Y1700">
        <v>0</v>
      </c>
      <c r="Z1700">
        <v>795.3</v>
      </c>
    </row>
    <row r="1701" spans="1:26" x14ac:dyDescent="0.25">
      <c r="H1701" t="s">
        <v>2888</v>
      </c>
    </row>
    <row r="1702" spans="1:26" x14ac:dyDescent="0.25">
      <c r="A1702">
        <v>848</v>
      </c>
      <c r="C1702">
        <v>13761</v>
      </c>
      <c r="D1702" t="s">
        <v>2889</v>
      </c>
      <c r="E1702" t="s">
        <v>112</v>
      </c>
      <c r="F1702" t="s">
        <v>298</v>
      </c>
      <c r="G1702" t="s">
        <v>2890</v>
      </c>
      <c r="H1702" t="str">
        <f>"201511024857"</f>
        <v>201511024857</v>
      </c>
      <c r="I1702">
        <v>724.9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70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Y1702">
        <v>0</v>
      </c>
      <c r="Z1702">
        <v>794.9</v>
      </c>
    </row>
    <row r="1703" spans="1:26" x14ac:dyDescent="0.25">
      <c r="H1703" t="s">
        <v>2891</v>
      </c>
    </row>
    <row r="1704" spans="1:26" x14ac:dyDescent="0.25">
      <c r="A1704">
        <v>849</v>
      </c>
      <c r="C1704">
        <v>14468</v>
      </c>
      <c r="D1704" t="s">
        <v>2658</v>
      </c>
      <c r="E1704" t="s">
        <v>2892</v>
      </c>
      <c r="F1704" t="s">
        <v>138</v>
      </c>
      <c r="G1704" t="s">
        <v>2893</v>
      </c>
      <c r="H1704" t="str">
        <f>"00684980"</f>
        <v>00684980</v>
      </c>
      <c r="I1704">
        <v>764.5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30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0</v>
      </c>
      <c r="Y1704">
        <v>0</v>
      </c>
      <c r="Z1704">
        <v>794.5</v>
      </c>
    </row>
    <row r="1705" spans="1:26" x14ac:dyDescent="0.25">
      <c r="H1705" t="s">
        <v>2894</v>
      </c>
    </row>
    <row r="1706" spans="1:26" x14ac:dyDescent="0.25">
      <c r="A1706">
        <v>850</v>
      </c>
      <c r="C1706">
        <v>9544</v>
      </c>
      <c r="D1706" t="s">
        <v>2895</v>
      </c>
      <c r="E1706" t="s">
        <v>2896</v>
      </c>
      <c r="F1706" t="s">
        <v>39</v>
      </c>
      <c r="G1706" t="s">
        <v>2897</v>
      </c>
      <c r="H1706" t="str">
        <f>"00730200"</f>
        <v>00730200</v>
      </c>
      <c r="I1706">
        <v>764.5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30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Y1706">
        <v>0</v>
      </c>
      <c r="Z1706">
        <v>794.5</v>
      </c>
    </row>
    <row r="1707" spans="1:26" x14ac:dyDescent="0.25">
      <c r="H1707" t="s">
        <v>2898</v>
      </c>
    </row>
    <row r="1708" spans="1:26" x14ac:dyDescent="0.25">
      <c r="A1708">
        <v>851</v>
      </c>
      <c r="C1708">
        <v>15632</v>
      </c>
      <c r="D1708" t="s">
        <v>2899</v>
      </c>
      <c r="E1708" t="s">
        <v>170</v>
      </c>
      <c r="F1708" t="s">
        <v>2568</v>
      </c>
      <c r="G1708" t="s">
        <v>2900</v>
      </c>
      <c r="H1708" t="str">
        <f>"00094656"</f>
        <v>00094656</v>
      </c>
      <c r="I1708">
        <v>764.5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30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Y1708">
        <v>0</v>
      </c>
      <c r="Z1708">
        <v>794.5</v>
      </c>
    </row>
    <row r="1709" spans="1:26" x14ac:dyDescent="0.25">
      <c r="H1709" t="s">
        <v>2901</v>
      </c>
    </row>
    <row r="1710" spans="1:26" x14ac:dyDescent="0.25">
      <c r="A1710">
        <v>852</v>
      </c>
      <c r="C1710">
        <v>9777</v>
      </c>
      <c r="D1710" t="s">
        <v>2902</v>
      </c>
      <c r="E1710" t="s">
        <v>164</v>
      </c>
      <c r="F1710" t="s">
        <v>84</v>
      </c>
      <c r="G1710" t="s">
        <v>2903</v>
      </c>
      <c r="H1710" t="str">
        <f>"00739669"</f>
        <v>00739669</v>
      </c>
      <c r="I1710">
        <v>794.2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Y1710">
        <v>0</v>
      </c>
      <c r="Z1710">
        <v>794.2</v>
      </c>
    </row>
    <row r="1711" spans="1:26" x14ac:dyDescent="0.25">
      <c r="H1711" t="s">
        <v>2904</v>
      </c>
    </row>
    <row r="1712" spans="1:26" x14ac:dyDescent="0.25">
      <c r="A1712">
        <v>853</v>
      </c>
      <c r="C1712">
        <v>15954</v>
      </c>
      <c r="D1712" t="s">
        <v>2905</v>
      </c>
      <c r="E1712" t="s">
        <v>235</v>
      </c>
      <c r="F1712" t="s">
        <v>51</v>
      </c>
      <c r="G1712" t="s">
        <v>2906</v>
      </c>
      <c r="H1712" t="str">
        <f>"201511026702"</f>
        <v>201511026702</v>
      </c>
      <c r="I1712">
        <v>794.2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Y1712">
        <v>0</v>
      </c>
      <c r="Z1712">
        <v>794.2</v>
      </c>
    </row>
    <row r="1713" spans="1:26" x14ac:dyDescent="0.25">
      <c r="H1713" t="s">
        <v>2907</v>
      </c>
    </row>
    <row r="1714" spans="1:26" x14ac:dyDescent="0.25">
      <c r="A1714">
        <v>854</v>
      </c>
      <c r="C1714">
        <v>11797</v>
      </c>
      <c r="D1714" t="s">
        <v>2908</v>
      </c>
      <c r="E1714" t="s">
        <v>284</v>
      </c>
      <c r="F1714" t="s">
        <v>73</v>
      </c>
      <c r="G1714" t="s">
        <v>2909</v>
      </c>
      <c r="H1714" t="str">
        <f>"201511040997"</f>
        <v>201511040997</v>
      </c>
      <c r="I1714">
        <v>794.2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Y1714">
        <v>1</v>
      </c>
      <c r="Z1714">
        <v>794.2</v>
      </c>
    </row>
    <row r="1715" spans="1:26" x14ac:dyDescent="0.25">
      <c r="H1715" t="s">
        <v>2910</v>
      </c>
    </row>
    <row r="1716" spans="1:26" x14ac:dyDescent="0.25">
      <c r="A1716">
        <v>855</v>
      </c>
      <c r="C1716">
        <v>16047</v>
      </c>
      <c r="D1716" t="s">
        <v>2911</v>
      </c>
      <c r="E1716" t="s">
        <v>953</v>
      </c>
      <c r="F1716" t="s">
        <v>597</v>
      </c>
      <c r="G1716" t="s">
        <v>2912</v>
      </c>
      <c r="H1716" t="str">
        <f>"00499513"</f>
        <v>00499513</v>
      </c>
      <c r="I1716">
        <v>743.6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50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Y1716">
        <v>0</v>
      </c>
      <c r="Z1716">
        <v>793.6</v>
      </c>
    </row>
    <row r="1717" spans="1:26" x14ac:dyDescent="0.25">
      <c r="H1717" t="s">
        <v>2913</v>
      </c>
    </row>
    <row r="1718" spans="1:26" x14ac:dyDescent="0.25">
      <c r="A1718">
        <v>856</v>
      </c>
      <c r="C1718">
        <v>13713</v>
      </c>
      <c r="D1718" t="s">
        <v>2914</v>
      </c>
      <c r="E1718" t="s">
        <v>2915</v>
      </c>
      <c r="F1718" t="s">
        <v>138</v>
      </c>
      <c r="G1718" t="s">
        <v>2916</v>
      </c>
      <c r="H1718" t="str">
        <f>"201401000108"</f>
        <v>201401000108</v>
      </c>
      <c r="I1718">
        <v>763.4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Y1718">
        <v>0</v>
      </c>
      <c r="Z1718">
        <v>793.4</v>
      </c>
    </row>
    <row r="1719" spans="1:26" x14ac:dyDescent="0.25">
      <c r="H1719" t="s">
        <v>2917</v>
      </c>
    </row>
    <row r="1720" spans="1:26" x14ac:dyDescent="0.25">
      <c r="A1720">
        <v>857</v>
      </c>
      <c r="C1720">
        <v>2463</v>
      </c>
      <c r="D1720" t="s">
        <v>2918</v>
      </c>
      <c r="E1720" t="s">
        <v>2919</v>
      </c>
      <c r="F1720" t="s">
        <v>2920</v>
      </c>
      <c r="G1720" t="s">
        <v>2921</v>
      </c>
      <c r="H1720" t="str">
        <f>"00493596"</f>
        <v>00493596</v>
      </c>
      <c r="I1720">
        <v>763.4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30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Y1720">
        <v>0</v>
      </c>
      <c r="Z1720">
        <v>793.4</v>
      </c>
    </row>
    <row r="1721" spans="1:26" x14ac:dyDescent="0.25">
      <c r="H1721" t="s">
        <v>2922</v>
      </c>
    </row>
    <row r="1722" spans="1:26" x14ac:dyDescent="0.25">
      <c r="A1722">
        <v>858</v>
      </c>
      <c r="C1722">
        <v>11818</v>
      </c>
      <c r="D1722" t="s">
        <v>2923</v>
      </c>
      <c r="E1722" t="s">
        <v>2614</v>
      </c>
      <c r="F1722" t="s">
        <v>73</v>
      </c>
      <c r="G1722" t="s">
        <v>2924</v>
      </c>
      <c r="H1722" t="str">
        <f>"201511016668"</f>
        <v>201511016668</v>
      </c>
      <c r="I1722">
        <v>762.3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30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Y1722">
        <v>0</v>
      </c>
      <c r="Z1722">
        <v>792.3</v>
      </c>
    </row>
    <row r="1723" spans="1:26" x14ac:dyDescent="0.25">
      <c r="H1723" t="s">
        <v>2925</v>
      </c>
    </row>
    <row r="1724" spans="1:26" x14ac:dyDescent="0.25">
      <c r="A1724">
        <v>859</v>
      </c>
      <c r="C1724">
        <v>8172</v>
      </c>
      <c r="D1724" t="s">
        <v>2926</v>
      </c>
      <c r="E1724" t="s">
        <v>373</v>
      </c>
      <c r="F1724" t="s">
        <v>51</v>
      </c>
      <c r="G1724" t="s">
        <v>2927</v>
      </c>
      <c r="H1724" t="str">
        <f>"00667190"</f>
        <v>00667190</v>
      </c>
      <c r="I1724">
        <v>792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Y1724">
        <v>0</v>
      </c>
      <c r="Z1724">
        <v>792</v>
      </c>
    </row>
    <row r="1725" spans="1:26" x14ac:dyDescent="0.25">
      <c r="H1725" t="s">
        <v>2928</v>
      </c>
    </row>
    <row r="1726" spans="1:26" x14ac:dyDescent="0.25">
      <c r="A1726">
        <v>860</v>
      </c>
      <c r="C1726">
        <v>10277</v>
      </c>
      <c r="D1726" t="s">
        <v>2929</v>
      </c>
      <c r="E1726" t="s">
        <v>902</v>
      </c>
      <c r="F1726" t="s">
        <v>551</v>
      </c>
      <c r="G1726" t="s">
        <v>2930</v>
      </c>
      <c r="H1726" t="str">
        <f>"201401002455"</f>
        <v>201401002455</v>
      </c>
      <c r="I1726">
        <v>792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Y1726">
        <v>0</v>
      </c>
      <c r="Z1726">
        <v>792</v>
      </c>
    </row>
    <row r="1727" spans="1:26" x14ac:dyDescent="0.25">
      <c r="H1727" t="s">
        <v>2931</v>
      </c>
    </row>
    <row r="1728" spans="1:26" x14ac:dyDescent="0.25">
      <c r="A1728">
        <v>861</v>
      </c>
      <c r="C1728">
        <v>10271</v>
      </c>
      <c r="D1728" t="s">
        <v>2932</v>
      </c>
      <c r="E1728" t="s">
        <v>103</v>
      </c>
      <c r="F1728" t="s">
        <v>51</v>
      </c>
      <c r="G1728" t="s">
        <v>2933</v>
      </c>
      <c r="H1728" t="str">
        <f>"00659084"</f>
        <v>00659084</v>
      </c>
      <c r="I1728">
        <v>721.6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70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Y1728">
        <v>2</v>
      </c>
      <c r="Z1728">
        <v>791.6</v>
      </c>
    </row>
    <row r="1729" spans="1:26" x14ac:dyDescent="0.25">
      <c r="H1729" t="s">
        <v>2934</v>
      </c>
    </row>
    <row r="1730" spans="1:26" x14ac:dyDescent="0.25">
      <c r="A1730">
        <v>862</v>
      </c>
      <c r="C1730">
        <v>9350</v>
      </c>
      <c r="D1730" t="s">
        <v>2935</v>
      </c>
      <c r="E1730" t="s">
        <v>182</v>
      </c>
      <c r="F1730" t="s">
        <v>148</v>
      </c>
      <c r="G1730" t="s">
        <v>2936</v>
      </c>
      <c r="H1730" t="str">
        <f>"00738852"</f>
        <v>00738852</v>
      </c>
      <c r="I1730">
        <v>761.2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30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Y1730">
        <v>0</v>
      </c>
      <c r="Z1730">
        <v>791.2</v>
      </c>
    </row>
    <row r="1731" spans="1:26" x14ac:dyDescent="0.25">
      <c r="H1731" t="s">
        <v>2937</v>
      </c>
    </row>
    <row r="1732" spans="1:26" x14ac:dyDescent="0.25">
      <c r="A1732">
        <v>863</v>
      </c>
      <c r="C1732">
        <v>7831</v>
      </c>
      <c r="D1732" t="s">
        <v>384</v>
      </c>
      <c r="E1732" t="s">
        <v>182</v>
      </c>
      <c r="F1732" t="s">
        <v>2938</v>
      </c>
      <c r="G1732" t="s">
        <v>2939</v>
      </c>
      <c r="H1732" t="str">
        <f>"201511029584"</f>
        <v>201511029584</v>
      </c>
      <c r="I1732">
        <v>790.9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Y1732">
        <v>0</v>
      </c>
      <c r="Z1732">
        <v>790.9</v>
      </c>
    </row>
    <row r="1733" spans="1:26" x14ac:dyDescent="0.25">
      <c r="H1733" t="s">
        <v>2940</v>
      </c>
    </row>
    <row r="1734" spans="1:26" x14ac:dyDescent="0.25">
      <c r="A1734">
        <v>864</v>
      </c>
      <c r="C1734">
        <v>15903</v>
      </c>
      <c r="D1734" t="s">
        <v>2941</v>
      </c>
      <c r="E1734" t="s">
        <v>264</v>
      </c>
      <c r="F1734" t="s">
        <v>965</v>
      </c>
      <c r="G1734" t="s">
        <v>2942</v>
      </c>
      <c r="H1734" t="str">
        <f>"201102000938"</f>
        <v>201102000938</v>
      </c>
      <c r="I1734">
        <v>760.1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30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Y1734">
        <v>0</v>
      </c>
      <c r="Z1734">
        <v>790.1</v>
      </c>
    </row>
    <row r="1735" spans="1:26" x14ac:dyDescent="0.25">
      <c r="H1735" t="s">
        <v>2943</v>
      </c>
    </row>
    <row r="1736" spans="1:26" x14ac:dyDescent="0.25">
      <c r="A1736">
        <v>865</v>
      </c>
      <c r="C1736">
        <v>3874</v>
      </c>
      <c r="D1736" t="s">
        <v>2944</v>
      </c>
      <c r="E1736" t="s">
        <v>252</v>
      </c>
      <c r="F1736" t="s">
        <v>39</v>
      </c>
      <c r="G1736" t="s">
        <v>2945</v>
      </c>
      <c r="H1736" t="str">
        <f>"201511031896"</f>
        <v>201511031896</v>
      </c>
      <c r="I1736">
        <v>760.1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30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Y1736">
        <v>0</v>
      </c>
      <c r="Z1736">
        <v>790.1</v>
      </c>
    </row>
    <row r="1737" spans="1:26" x14ac:dyDescent="0.25">
      <c r="H1737" t="s">
        <v>2946</v>
      </c>
    </row>
    <row r="1738" spans="1:26" x14ac:dyDescent="0.25">
      <c r="A1738">
        <v>866</v>
      </c>
      <c r="C1738">
        <v>9911</v>
      </c>
      <c r="D1738" t="s">
        <v>2947</v>
      </c>
      <c r="E1738" t="s">
        <v>264</v>
      </c>
      <c r="F1738" t="s">
        <v>84</v>
      </c>
      <c r="G1738" t="s">
        <v>2948</v>
      </c>
      <c r="H1738" t="str">
        <f>"201511005902"</f>
        <v>201511005902</v>
      </c>
      <c r="I1738">
        <v>760.1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30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Y1738">
        <v>0</v>
      </c>
      <c r="Z1738">
        <v>790.1</v>
      </c>
    </row>
    <row r="1739" spans="1:26" x14ac:dyDescent="0.25">
      <c r="H1739" t="s">
        <v>2949</v>
      </c>
    </row>
    <row r="1740" spans="1:26" x14ac:dyDescent="0.25">
      <c r="A1740">
        <v>867</v>
      </c>
      <c r="C1740">
        <v>3213</v>
      </c>
      <c r="D1740" t="s">
        <v>1131</v>
      </c>
      <c r="E1740" t="s">
        <v>178</v>
      </c>
      <c r="F1740" t="s">
        <v>73</v>
      </c>
      <c r="G1740" t="s">
        <v>2950</v>
      </c>
      <c r="H1740" t="str">
        <f>"00446750"</f>
        <v>00446750</v>
      </c>
      <c r="I1740">
        <v>760.1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30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Y1740">
        <v>1</v>
      </c>
      <c r="Z1740">
        <v>790.1</v>
      </c>
    </row>
    <row r="1741" spans="1:26" x14ac:dyDescent="0.25">
      <c r="H1741" t="s">
        <v>2951</v>
      </c>
    </row>
    <row r="1742" spans="1:26" x14ac:dyDescent="0.25">
      <c r="A1742">
        <v>868</v>
      </c>
      <c r="C1742">
        <v>706</v>
      </c>
      <c r="D1742" t="s">
        <v>2952</v>
      </c>
      <c r="E1742" t="s">
        <v>98</v>
      </c>
      <c r="F1742" t="s">
        <v>2953</v>
      </c>
      <c r="G1742" t="s">
        <v>2954</v>
      </c>
      <c r="H1742" t="str">
        <f>"201511043587"</f>
        <v>201511043587</v>
      </c>
      <c r="I1742">
        <v>789.8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Y1742">
        <v>0</v>
      </c>
      <c r="Z1742">
        <v>789.8</v>
      </c>
    </row>
    <row r="1743" spans="1:26" x14ac:dyDescent="0.25">
      <c r="H1743" t="s">
        <v>2955</v>
      </c>
    </row>
    <row r="1744" spans="1:26" x14ac:dyDescent="0.25">
      <c r="A1744">
        <v>869</v>
      </c>
      <c r="C1744">
        <v>9178</v>
      </c>
      <c r="D1744" t="s">
        <v>2956</v>
      </c>
      <c r="E1744" t="s">
        <v>98</v>
      </c>
      <c r="F1744" t="s">
        <v>39</v>
      </c>
      <c r="G1744" t="s">
        <v>2957</v>
      </c>
      <c r="H1744" t="str">
        <f>"201511026112"</f>
        <v>201511026112</v>
      </c>
      <c r="I1744">
        <v>759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30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Y1744">
        <v>0</v>
      </c>
      <c r="Z1744">
        <v>789</v>
      </c>
    </row>
    <row r="1745" spans="1:26" x14ac:dyDescent="0.25">
      <c r="H1745" t="s">
        <v>2958</v>
      </c>
    </row>
    <row r="1746" spans="1:26" x14ac:dyDescent="0.25">
      <c r="A1746">
        <v>870</v>
      </c>
      <c r="C1746">
        <v>14320</v>
      </c>
      <c r="D1746" t="s">
        <v>2959</v>
      </c>
      <c r="E1746" t="s">
        <v>248</v>
      </c>
      <c r="F1746" t="s">
        <v>199</v>
      </c>
      <c r="G1746" t="s">
        <v>2960</v>
      </c>
      <c r="H1746" t="str">
        <f>"201511022987"</f>
        <v>201511022987</v>
      </c>
      <c r="I1746">
        <v>759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30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Y1746">
        <v>0</v>
      </c>
      <c r="Z1746">
        <v>789</v>
      </c>
    </row>
    <row r="1747" spans="1:26" x14ac:dyDescent="0.25">
      <c r="H1747" t="s">
        <v>2961</v>
      </c>
    </row>
    <row r="1748" spans="1:26" x14ac:dyDescent="0.25">
      <c r="A1748">
        <v>871</v>
      </c>
      <c r="C1748">
        <v>13149</v>
      </c>
      <c r="D1748" t="s">
        <v>2962</v>
      </c>
      <c r="E1748" t="s">
        <v>39</v>
      </c>
      <c r="F1748" t="s">
        <v>79</v>
      </c>
      <c r="G1748" t="s">
        <v>2963</v>
      </c>
      <c r="H1748" t="str">
        <f>"00499942"</f>
        <v>00499942</v>
      </c>
      <c r="I1748">
        <v>759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30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Y1748">
        <v>0</v>
      </c>
      <c r="Z1748">
        <v>789</v>
      </c>
    </row>
    <row r="1749" spans="1:26" x14ac:dyDescent="0.25">
      <c r="H1749" t="s">
        <v>2964</v>
      </c>
    </row>
    <row r="1750" spans="1:26" x14ac:dyDescent="0.25">
      <c r="A1750">
        <v>872</v>
      </c>
      <c r="C1750">
        <v>13360</v>
      </c>
      <c r="D1750" t="s">
        <v>2965</v>
      </c>
      <c r="E1750" t="s">
        <v>78</v>
      </c>
      <c r="F1750" t="s">
        <v>642</v>
      </c>
      <c r="G1750" t="s">
        <v>2966</v>
      </c>
      <c r="H1750" t="str">
        <f>"201511039954"</f>
        <v>201511039954</v>
      </c>
      <c r="I1750">
        <v>787.6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Y1750">
        <v>0</v>
      </c>
      <c r="Z1750">
        <v>787.6</v>
      </c>
    </row>
    <row r="1751" spans="1:26" x14ac:dyDescent="0.25">
      <c r="H1751" t="s">
        <v>2967</v>
      </c>
    </row>
    <row r="1752" spans="1:26" x14ac:dyDescent="0.25">
      <c r="A1752">
        <v>873</v>
      </c>
      <c r="C1752">
        <v>10188</v>
      </c>
      <c r="D1752" t="s">
        <v>2968</v>
      </c>
      <c r="E1752" t="s">
        <v>264</v>
      </c>
      <c r="F1752" t="s">
        <v>540</v>
      </c>
      <c r="G1752" t="s">
        <v>2969</v>
      </c>
      <c r="H1752" t="str">
        <f>"201511039383"</f>
        <v>201511039383</v>
      </c>
      <c r="I1752">
        <v>756.8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30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Y1752">
        <v>0</v>
      </c>
      <c r="Z1752">
        <v>786.8</v>
      </c>
    </row>
    <row r="1753" spans="1:26" x14ac:dyDescent="0.25">
      <c r="H1753" t="s">
        <v>2970</v>
      </c>
    </row>
    <row r="1754" spans="1:26" x14ac:dyDescent="0.25">
      <c r="A1754">
        <v>874</v>
      </c>
      <c r="C1754">
        <v>4733</v>
      </c>
      <c r="D1754" t="s">
        <v>2971</v>
      </c>
      <c r="E1754" t="s">
        <v>112</v>
      </c>
      <c r="F1754" t="s">
        <v>456</v>
      </c>
      <c r="G1754" t="s">
        <v>2972</v>
      </c>
      <c r="H1754" t="str">
        <f>"201512000834"</f>
        <v>201512000834</v>
      </c>
      <c r="I1754">
        <v>756.8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30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Y1754">
        <v>0</v>
      </c>
      <c r="Z1754">
        <v>786.8</v>
      </c>
    </row>
    <row r="1755" spans="1:26" x14ac:dyDescent="0.25">
      <c r="H1755" t="s">
        <v>2973</v>
      </c>
    </row>
    <row r="1756" spans="1:26" x14ac:dyDescent="0.25">
      <c r="A1756">
        <v>875</v>
      </c>
      <c r="C1756">
        <v>14830</v>
      </c>
      <c r="D1756" t="s">
        <v>2974</v>
      </c>
      <c r="E1756" t="s">
        <v>56</v>
      </c>
      <c r="F1756" t="s">
        <v>51</v>
      </c>
      <c r="G1756" t="s">
        <v>2975</v>
      </c>
      <c r="H1756" t="str">
        <f>"00038286"</f>
        <v>00038286</v>
      </c>
      <c r="I1756">
        <v>786.5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Y1756">
        <v>0</v>
      </c>
      <c r="Z1756">
        <v>786.5</v>
      </c>
    </row>
    <row r="1757" spans="1:26" x14ac:dyDescent="0.25">
      <c r="H1757" t="s">
        <v>2976</v>
      </c>
    </row>
    <row r="1758" spans="1:26" x14ac:dyDescent="0.25">
      <c r="A1758">
        <v>876</v>
      </c>
      <c r="C1758">
        <v>7238</v>
      </c>
      <c r="D1758" t="s">
        <v>2977</v>
      </c>
      <c r="E1758" t="s">
        <v>138</v>
      </c>
      <c r="F1758" t="s">
        <v>2978</v>
      </c>
      <c r="G1758" t="s">
        <v>2979</v>
      </c>
      <c r="H1758" t="str">
        <f>"00486840"</f>
        <v>00486840</v>
      </c>
      <c r="I1758">
        <v>786.5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Y1758">
        <v>0</v>
      </c>
      <c r="Z1758">
        <v>786.5</v>
      </c>
    </row>
    <row r="1759" spans="1:26" x14ac:dyDescent="0.25">
      <c r="H1759" t="s">
        <v>2980</v>
      </c>
    </row>
    <row r="1760" spans="1:26" x14ac:dyDescent="0.25">
      <c r="A1760">
        <v>877</v>
      </c>
      <c r="C1760">
        <v>15566</v>
      </c>
      <c r="D1760" t="s">
        <v>2981</v>
      </c>
      <c r="E1760" t="s">
        <v>112</v>
      </c>
      <c r="F1760" t="s">
        <v>73</v>
      </c>
      <c r="G1760" t="s">
        <v>2982</v>
      </c>
      <c r="H1760" t="str">
        <f>"00740839"</f>
        <v>00740839</v>
      </c>
      <c r="I1760">
        <v>755.7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30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Y1760">
        <v>0</v>
      </c>
      <c r="Z1760">
        <v>785.7</v>
      </c>
    </row>
    <row r="1761" spans="1:26" x14ac:dyDescent="0.25">
      <c r="H1761" t="s">
        <v>2983</v>
      </c>
    </row>
    <row r="1762" spans="1:26" x14ac:dyDescent="0.25">
      <c r="A1762">
        <v>878</v>
      </c>
      <c r="B1762" t="s">
        <v>2984</v>
      </c>
      <c r="C1762">
        <v>17207</v>
      </c>
      <c r="D1762" t="s">
        <v>2985</v>
      </c>
      <c r="E1762" t="s">
        <v>264</v>
      </c>
      <c r="F1762" t="s">
        <v>1677</v>
      </c>
      <c r="G1762" t="s">
        <v>2986</v>
      </c>
      <c r="H1762" t="str">
        <f>"201511031361"</f>
        <v>201511031361</v>
      </c>
      <c r="I1762">
        <v>785.4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Y1762">
        <v>0</v>
      </c>
      <c r="Z1762">
        <v>785.4</v>
      </c>
    </row>
    <row r="1763" spans="1:26" x14ac:dyDescent="0.25">
      <c r="H1763" t="s">
        <v>2987</v>
      </c>
    </row>
    <row r="1764" spans="1:26" x14ac:dyDescent="0.25">
      <c r="A1764">
        <v>879</v>
      </c>
      <c r="C1764">
        <v>5596</v>
      </c>
      <c r="D1764" t="s">
        <v>2988</v>
      </c>
      <c r="E1764" t="s">
        <v>365</v>
      </c>
      <c r="F1764" t="s">
        <v>51</v>
      </c>
      <c r="G1764" t="s">
        <v>2989</v>
      </c>
      <c r="H1764" t="str">
        <f>"00733439"</f>
        <v>00733439</v>
      </c>
      <c r="I1764">
        <v>715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70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Y1764">
        <v>0</v>
      </c>
      <c r="Z1764">
        <v>785</v>
      </c>
    </row>
    <row r="1765" spans="1:26" x14ac:dyDescent="0.25">
      <c r="H1765" t="s">
        <v>2990</v>
      </c>
    </row>
    <row r="1766" spans="1:26" x14ac:dyDescent="0.25">
      <c r="A1766">
        <v>880</v>
      </c>
      <c r="C1766">
        <v>14577</v>
      </c>
      <c r="D1766" t="s">
        <v>2991</v>
      </c>
      <c r="E1766" t="s">
        <v>51</v>
      </c>
      <c r="F1766" t="s">
        <v>194</v>
      </c>
      <c r="G1766" t="s">
        <v>2992</v>
      </c>
      <c r="H1766" t="str">
        <f>"201511038067"</f>
        <v>201511038067</v>
      </c>
      <c r="I1766">
        <v>784.3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Y1766">
        <v>0</v>
      </c>
      <c r="Z1766">
        <v>784.3</v>
      </c>
    </row>
    <row r="1767" spans="1:26" x14ac:dyDescent="0.25">
      <c r="H1767" t="s">
        <v>2993</v>
      </c>
    </row>
    <row r="1768" spans="1:26" x14ac:dyDescent="0.25">
      <c r="A1768">
        <v>881</v>
      </c>
      <c r="C1768">
        <v>7604</v>
      </c>
      <c r="D1768" t="s">
        <v>2994</v>
      </c>
      <c r="E1768" t="s">
        <v>194</v>
      </c>
      <c r="F1768" t="s">
        <v>84</v>
      </c>
      <c r="G1768" t="s">
        <v>2995</v>
      </c>
      <c r="H1768" t="str">
        <f>"201511021440"</f>
        <v>201511021440</v>
      </c>
      <c r="I1768">
        <v>784.3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Y1768">
        <v>0</v>
      </c>
      <c r="Z1768">
        <v>784.3</v>
      </c>
    </row>
    <row r="1769" spans="1:26" x14ac:dyDescent="0.25">
      <c r="H1769" t="s">
        <v>2996</v>
      </c>
    </row>
    <row r="1770" spans="1:26" x14ac:dyDescent="0.25">
      <c r="A1770">
        <v>882</v>
      </c>
      <c r="C1770">
        <v>10343</v>
      </c>
      <c r="D1770" t="s">
        <v>2997</v>
      </c>
      <c r="E1770" t="s">
        <v>2998</v>
      </c>
      <c r="F1770" t="s">
        <v>342</v>
      </c>
      <c r="G1770" t="s">
        <v>2999</v>
      </c>
      <c r="H1770" t="str">
        <f>"201511030171"</f>
        <v>201511030171</v>
      </c>
      <c r="I1770">
        <v>784.3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Y1770">
        <v>0</v>
      </c>
      <c r="Z1770">
        <v>784.3</v>
      </c>
    </row>
    <row r="1771" spans="1:26" x14ac:dyDescent="0.25">
      <c r="H1771" t="s">
        <v>3000</v>
      </c>
    </row>
    <row r="1772" spans="1:26" x14ac:dyDescent="0.25">
      <c r="A1772">
        <v>883</v>
      </c>
      <c r="C1772">
        <v>14590</v>
      </c>
      <c r="D1772" t="s">
        <v>3001</v>
      </c>
      <c r="E1772" t="s">
        <v>3002</v>
      </c>
      <c r="F1772" t="s">
        <v>148</v>
      </c>
      <c r="G1772" t="s">
        <v>3003</v>
      </c>
      <c r="H1772" t="str">
        <f>"201511012282"</f>
        <v>201511012282</v>
      </c>
      <c r="I1772">
        <v>783.2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Y1772">
        <v>0</v>
      </c>
      <c r="Z1772">
        <v>783.2</v>
      </c>
    </row>
    <row r="1773" spans="1:26" x14ac:dyDescent="0.25">
      <c r="H1773" t="s">
        <v>3004</v>
      </c>
    </row>
    <row r="1774" spans="1:26" x14ac:dyDescent="0.25">
      <c r="A1774">
        <v>884</v>
      </c>
      <c r="C1774">
        <v>11160</v>
      </c>
      <c r="D1774" t="s">
        <v>239</v>
      </c>
      <c r="E1774" t="s">
        <v>399</v>
      </c>
      <c r="F1774" t="s">
        <v>597</v>
      </c>
      <c r="G1774" t="s">
        <v>3005</v>
      </c>
      <c r="H1774" t="str">
        <f>"201511027460"</f>
        <v>201511027460</v>
      </c>
      <c r="I1774">
        <v>783.2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Y1774">
        <v>0</v>
      </c>
      <c r="Z1774">
        <v>783.2</v>
      </c>
    </row>
    <row r="1775" spans="1:26" x14ac:dyDescent="0.25">
      <c r="H1775" t="s">
        <v>3006</v>
      </c>
    </row>
    <row r="1776" spans="1:26" x14ac:dyDescent="0.25">
      <c r="A1776">
        <v>885</v>
      </c>
      <c r="C1776">
        <v>10605</v>
      </c>
      <c r="D1776" t="s">
        <v>3007</v>
      </c>
      <c r="E1776" t="s">
        <v>871</v>
      </c>
      <c r="F1776" t="s">
        <v>430</v>
      </c>
      <c r="G1776" t="s">
        <v>3008</v>
      </c>
      <c r="H1776" t="str">
        <f>"201511041624"</f>
        <v>201511041624</v>
      </c>
      <c r="I1776">
        <v>783.2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Y1776">
        <v>0</v>
      </c>
      <c r="Z1776">
        <v>783.2</v>
      </c>
    </row>
    <row r="1777" spans="1:26" x14ac:dyDescent="0.25">
      <c r="H1777" t="s">
        <v>3009</v>
      </c>
    </row>
    <row r="1778" spans="1:26" x14ac:dyDescent="0.25">
      <c r="A1778">
        <v>886</v>
      </c>
      <c r="C1778">
        <v>13235</v>
      </c>
      <c r="D1778" t="s">
        <v>3010</v>
      </c>
      <c r="E1778" t="s">
        <v>3011</v>
      </c>
      <c r="F1778" t="s">
        <v>723</v>
      </c>
      <c r="G1778" t="s">
        <v>3012</v>
      </c>
      <c r="H1778" t="str">
        <f>"00497781"</f>
        <v>00497781</v>
      </c>
      <c r="I1778">
        <v>712.8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70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Y1778">
        <v>0</v>
      </c>
      <c r="Z1778">
        <v>782.8</v>
      </c>
    </row>
    <row r="1779" spans="1:26" x14ac:dyDescent="0.25">
      <c r="H1779" t="s">
        <v>3013</v>
      </c>
    </row>
    <row r="1780" spans="1:26" x14ac:dyDescent="0.25">
      <c r="A1780">
        <v>887</v>
      </c>
      <c r="C1780">
        <v>10340</v>
      </c>
      <c r="D1780" t="s">
        <v>3014</v>
      </c>
      <c r="E1780" t="s">
        <v>248</v>
      </c>
      <c r="F1780" t="s">
        <v>73</v>
      </c>
      <c r="G1780" t="s">
        <v>3015</v>
      </c>
      <c r="H1780" t="str">
        <f>"201406000953"</f>
        <v>201406000953</v>
      </c>
      <c r="I1780">
        <v>752.4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30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Y1780">
        <v>0</v>
      </c>
      <c r="Z1780">
        <v>782.4</v>
      </c>
    </row>
    <row r="1781" spans="1:26" x14ac:dyDescent="0.25">
      <c r="H1781" t="s">
        <v>3016</v>
      </c>
    </row>
    <row r="1782" spans="1:26" x14ac:dyDescent="0.25">
      <c r="A1782">
        <v>888</v>
      </c>
      <c r="C1782">
        <v>15410</v>
      </c>
      <c r="D1782" t="s">
        <v>3017</v>
      </c>
      <c r="E1782" t="s">
        <v>194</v>
      </c>
      <c r="F1782" t="s">
        <v>3018</v>
      </c>
      <c r="G1782" t="s">
        <v>3019</v>
      </c>
      <c r="H1782" t="str">
        <f>"201511017925"</f>
        <v>201511017925</v>
      </c>
      <c r="I1782">
        <v>782.1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Y1782">
        <v>0</v>
      </c>
      <c r="Z1782">
        <v>782.1</v>
      </c>
    </row>
    <row r="1783" spans="1:26" x14ac:dyDescent="0.25">
      <c r="H1783" t="s">
        <v>3020</v>
      </c>
    </row>
    <row r="1784" spans="1:26" x14ac:dyDescent="0.25">
      <c r="A1784">
        <v>889</v>
      </c>
      <c r="C1784">
        <v>1269</v>
      </c>
      <c r="D1784" t="s">
        <v>1557</v>
      </c>
      <c r="E1784" t="s">
        <v>3021</v>
      </c>
      <c r="F1784" t="s">
        <v>16</v>
      </c>
      <c r="G1784" t="s">
        <v>3022</v>
      </c>
      <c r="H1784" t="str">
        <f>"00728761"</f>
        <v>00728761</v>
      </c>
      <c r="I1784">
        <v>731.5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50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Y1784">
        <v>0</v>
      </c>
      <c r="Z1784">
        <v>781.5</v>
      </c>
    </row>
    <row r="1785" spans="1:26" x14ac:dyDescent="0.25">
      <c r="H1785" t="s">
        <v>3023</v>
      </c>
    </row>
    <row r="1786" spans="1:26" x14ac:dyDescent="0.25">
      <c r="A1786">
        <v>890</v>
      </c>
      <c r="C1786">
        <v>6866</v>
      </c>
      <c r="D1786" t="s">
        <v>3024</v>
      </c>
      <c r="E1786" t="s">
        <v>1560</v>
      </c>
      <c r="F1786" t="s">
        <v>127</v>
      </c>
      <c r="G1786" t="s">
        <v>3025</v>
      </c>
      <c r="H1786" t="str">
        <f>"201511010991"</f>
        <v>201511010991</v>
      </c>
      <c r="I1786">
        <v>751.3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30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Y1786">
        <v>0</v>
      </c>
      <c r="Z1786">
        <v>781.3</v>
      </c>
    </row>
    <row r="1787" spans="1:26" x14ac:dyDescent="0.25">
      <c r="H1787" t="s">
        <v>3026</v>
      </c>
    </row>
    <row r="1788" spans="1:26" x14ac:dyDescent="0.25">
      <c r="A1788">
        <v>891</v>
      </c>
      <c r="C1788">
        <v>12691</v>
      </c>
      <c r="D1788" t="s">
        <v>3027</v>
      </c>
      <c r="E1788" t="s">
        <v>294</v>
      </c>
      <c r="F1788" t="s">
        <v>1492</v>
      </c>
      <c r="G1788" t="s">
        <v>3028</v>
      </c>
      <c r="H1788" t="str">
        <f>"200712004748"</f>
        <v>200712004748</v>
      </c>
      <c r="I1788">
        <v>781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Y1788">
        <v>0</v>
      </c>
      <c r="Z1788">
        <v>781</v>
      </c>
    </row>
    <row r="1789" spans="1:26" x14ac:dyDescent="0.25">
      <c r="H1789" t="s">
        <v>3029</v>
      </c>
    </row>
    <row r="1790" spans="1:26" x14ac:dyDescent="0.25">
      <c r="A1790">
        <v>892</v>
      </c>
      <c r="C1790">
        <v>17687</v>
      </c>
      <c r="D1790" t="s">
        <v>3030</v>
      </c>
      <c r="E1790" t="s">
        <v>2674</v>
      </c>
      <c r="F1790" t="s">
        <v>193</v>
      </c>
      <c r="G1790" t="s">
        <v>3031</v>
      </c>
      <c r="H1790" t="str">
        <f>"200712000174"</f>
        <v>200712000174</v>
      </c>
      <c r="I1790">
        <v>781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Y1790">
        <v>0</v>
      </c>
      <c r="Z1790">
        <v>781</v>
      </c>
    </row>
    <row r="1791" spans="1:26" x14ac:dyDescent="0.25">
      <c r="H1791" t="s">
        <v>3032</v>
      </c>
    </row>
    <row r="1792" spans="1:26" x14ac:dyDescent="0.25">
      <c r="A1792">
        <v>893</v>
      </c>
      <c r="C1792">
        <v>11465</v>
      </c>
      <c r="D1792" t="s">
        <v>3033</v>
      </c>
      <c r="E1792" t="s">
        <v>56</v>
      </c>
      <c r="F1792" t="s">
        <v>165</v>
      </c>
      <c r="G1792" t="s">
        <v>3034</v>
      </c>
      <c r="H1792" t="str">
        <f>"00735017"</f>
        <v>00735017</v>
      </c>
      <c r="I1792">
        <v>781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Y1792">
        <v>1</v>
      </c>
      <c r="Z1792">
        <v>781</v>
      </c>
    </row>
    <row r="1793" spans="1:26" x14ac:dyDescent="0.25">
      <c r="H1793" t="s">
        <v>3035</v>
      </c>
    </row>
    <row r="1794" spans="1:26" x14ac:dyDescent="0.25">
      <c r="A1794">
        <v>894</v>
      </c>
      <c r="C1794">
        <v>1930</v>
      </c>
      <c r="D1794" t="s">
        <v>3036</v>
      </c>
      <c r="E1794" t="s">
        <v>112</v>
      </c>
      <c r="F1794" t="s">
        <v>199</v>
      </c>
      <c r="G1794" t="s">
        <v>3037</v>
      </c>
      <c r="H1794" t="str">
        <f>"201504001711"</f>
        <v>201504001711</v>
      </c>
      <c r="I1794">
        <v>730.4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50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Y1794">
        <v>0</v>
      </c>
      <c r="Z1794">
        <v>780.4</v>
      </c>
    </row>
    <row r="1795" spans="1:26" x14ac:dyDescent="0.25">
      <c r="H1795" t="s">
        <v>3038</v>
      </c>
    </row>
    <row r="1796" spans="1:26" x14ac:dyDescent="0.25">
      <c r="A1796">
        <v>895</v>
      </c>
      <c r="C1796">
        <v>8741</v>
      </c>
      <c r="D1796" t="s">
        <v>3039</v>
      </c>
      <c r="E1796" t="s">
        <v>78</v>
      </c>
      <c r="F1796" t="s">
        <v>118</v>
      </c>
      <c r="G1796" t="s">
        <v>3040</v>
      </c>
      <c r="H1796" t="str">
        <f>"201511026871"</f>
        <v>201511026871</v>
      </c>
      <c r="I1796">
        <v>750.2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30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Y1796">
        <v>0</v>
      </c>
      <c r="Z1796">
        <v>780.2</v>
      </c>
    </row>
    <row r="1797" spans="1:26" x14ac:dyDescent="0.25">
      <c r="H1797" t="s">
        <v>3041</v>
      </c>
    </row>
    <row r="1798" spans="1:26" x14ac:dyDescent="0.25">
      <c r="A1798">
        <v>896</v>
      </c>
      <c r="C1798">
        <v>8696</v>
      </c>
      <c r="D1798" t="s">
        <v>3042</v>
      </c>
      <c r="E1798" t="s">
        <v>16</v>
      </c>
      <c r="F1798" t="s">
        <v>39</v>
      </c>
      <c r="G1798" t="s">
        <v>3043</v>
      </c>
      <c r="H1798" t="str">
        <f>"201401002454"</f>
        <v>201401002454</v>
      </c>
      <c r="I1798">
        <v>779.9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Y1798">
        <v>0</v>
      </c>
      <c r="Z1798">
        <v>779.9</v>
      </c>
    </row>
    <row r="1799" spans="1:26" x14ac:dyDescent="0.25">
      <c r="H1799" t="s">
        <v>3044</v>
      </c>
    </row>
    <row r="1800" spans="1:26" x14ac:dyDescent="0.25">
      <c r="A1800">
        <v>897</v>
      </c>
      <c r="C1800">
        <v>4730</v>
      </c>
      <c r="D1800" t="s">
        <v>1926</v>
      </c>
      <c r="E1800" t="s">
        <v>235</v>
      </c>
      <c r="F1800" t="s">
        <v>39</v>
      </c>
      <c r="G1800" t="s">
        <v>3045</v>
      </c>
      <c r="H1800" t="str">
        <f>"201511032444"</f>
        <v>201511032444</v>
      </c>
      <c r="I1800">
        <v>779.9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Y1800">
        <v>0</v>
      </c>
      <c r="Z1800">
        <v>779.9</v>
      </c>
    </row>
    <row r="1801" spans="1:26" x14ac:dyDescent="0.25">
      <c r="H1801" t="s">
        <v>3046</v>
      </c>
    </row>
    <row r="1802" spans="1:26" x14ac:dyDescent="0.25">
      <c r="A1802">
        <v>898</v>
      </c>
      <c r="C1802">
        <v>17393</v>
      </c>
      <c r="D1802" t="s">
        <v>3047</v>
      </c>
      <c r="E1802" t="s">
        <v>164</v>
      </c>
      <c r="F1802" t="s">
        <v>127</v>
      </c>
      <c r="G1802" t="s">
        <v>3048</v>
      </c>
      <c r="H1802" t="str">
        <f>"00745031"</f>
        <v>00745031</v>
      </c>
      <c r="I1802">
        <v>779.9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Y1802">
        <v>0</v>
      </c>
      <c r="Z1802">
        <v>779.9</v>
      </c>
    </row>
    <row r="1803" spans="1:26" x14ac:dyDescent="0.25">
      <c r="H1803" t="s">
        <v>3049</v>
      </c>
    </row>
    <row r="1804" spans="1:26" x14ac:dyDescent="0.25">
      <c r="A1804">
        <v>899</v>
      </c>
      <c r="C1804">
        <v>8681</v>
      </c>
      <c r="D1804" t="s">
        <v>3050</v>
      </c>
      <c r="E1804" t="s">
        <v>67</v>
      </c>
      <c r="F1804" t="s">
        <v>16</v>
      </c>
      <c r="G1804" t="s">
        <v>3051</v>
      </c>
      <c r="H1804" t="str">
        <f>"201511013785"</f>
        <v>201511013785</v>
      </c>
      <c r="I1804">
        <v>719.4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30</v>
      </c>
      <c r="P1804">
        <v>30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Y1804">
        <v>0</v>
      </c>
      <c r="Z1804">
        <v>779.4</v>
      </c>
    </row>
    <row r="1805" spans="1:26" x14ac:dyDescent="0.25">
      <c r="H1805" t="s">
        <v>602</v>
      </c>
    </row>
    <row r="1806" spans="1:26" x14ac:dyDescent="0.25">
      <c r="A1806">
        <v>900</v>
      </c>
      <c r="C1806">
        <v>15379</v>
      </c>
      <c r="D1806" t="s">
        <v>3052</v>
      </c>
      <c r="E1806" t="s">
        <v>170</v>
      </c>
      <c r="F1806" t="s">
        <v>39</v>
      </c>
      <c r="G1806" t="s">
        <v>3053</v>
      </c>
      <c r="H1806" t="str">
        <f>"00498881"</f>
        <v>00498881</v>
      </c>
      <c r="I1806">
        <v>749.1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30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Y1806">
        <v>0</v>
      </c>
      <c r="Z1806">
        <v>779.1</v>
      </c>
    </row>
    <row r="1807" spans="1:26" x14ac:dyDescent="0.25">
      <c r="H1807" t="s">
        <v>3054</v>
      </c>
    </row>
    <row r="1808" spans="1:26" x14ac:dyDescent="0.25">
      <c r="A1808">
        <v>901</v>
      </c>
      <c r="C1808">
        <v>13637</v>
      </c>
      <c r="D1808" t="s">
        <v>3055</v>
      </c>
      <c r="E1808" t="s">
        <v>338</v>
      </c>
      <c r="F1808" t="s">
        <v>138</v>
      </c>
      <c r="G1808" t="s">
        <v>3056</v>
      </c>
      <c r="H1808" t="str">
        <f>"201401001783"</f>
        <v>201401001783</v>
      </c>
      <c r="I1808">
        <v>778.8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Y1808">
        <v>0</v>
      </c>
      <c r="Z1808">
        <v>778.8</v>
      </c>
    </row>
    <row r="1809" spans="1:26" x14ac:dyDescent="0.25">
      <c r="H1809" t="s">
        <v>3057</v>
      </c>
    </row>
    <row r="1810" spans="1:26" x14ac:dyDescent="0.25">
      <c r="A1810">
        <v>902</v>
      </c>
      <c r="C1810">
        <v>6236</v>
      </c>
      <c r="D1810" t="s">
        <v>164</v>
      </c>
      <c r="E1810" t="s">
        <v>3058</v>
      </c>
      <c r="F1810" t="s">
        <v>194</v>
      </c>
      <c r="G1810" t="s">
        <v>3059</v>
      </c>
      <c r="H1810" t="str">
        <f>"00209952"</f>
        <v>00209952</v>
      </c>
      <c r="I1810">
        <v>778.8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0</v>
      </c>
      <c r="Y1810">
        <v>0</v>
      </c>
      <c r="Z1810">
        <v>778.8</v>
      </c>
    </row>
    <row r="1811" spans="1:26" x14ac:dyDescent="0.25">
      <c r="H1811" t="s">
        <v>3060</v>
      </c>
    </row>
    <row r="1812" spans="1:26" x14ac:dyDescent="0.25">
      <c r="A1812">
        <v>903</v>
      </c>
      <c r="C1812">
        <v>1593</v>
      </c>
      <c r="D1812" t="s">
        <v>3061</v>
      </c>
      <c r="E1812" t="s">
        <v>235</v>
      </c>
      <c r="F1812" t="s">
        <v>103</v>
      </c>
      <c r="G1812" t="s">
        <v>3062</v>
      </c>
      <c r="H1812" t="str">
        <f>"201511014160"</f>
        <v>201511014160</v>
      </c>
      <c r="I1812">
        <v>748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30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Y1812">
        <v>0</v>
      </c>
      <c r="Z1812">
        <v>778</v>
      </c>
    </row>
    <row r="1813" spans="1:26" x14ac:dyDescent="0.25">
      <c r="H1813" t="s">
        <v>3063</v>
      </c>
    </row>
    <row r="1814" spans="1:26" x14ac:dyDescent="0.25">
      <c r="A1814">
        <v>904</v>
      </c>
      <c r="C1814">
        <v>3548</v>
      </c>
      <c r="D1814" t="s">
        <v>3064</v>
      </c>
      <c r="E1814" t="s">
        <v>50</v>
      </c>
      <c r="F1814" t="s">
        <v>194</v>
      </c>
      <c r="G1814" t="s">
        <v>3065</v>
      </c>
      <c r="H1814" t="str">
        <f>"201511027961"</f>
        <v>201511027961</v>
      </c>
      <c r="I1814">
        <v>748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30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0</v>
      </c>
      <c r="Y1814">
        <v>0</v>
      </c>
      <c r="Z1814">
        <v>778</v>
      </c>
    </row>
    <row r="1815" spans="1:26" x14ac:dyDescent="0.25">
      <c r="H1815" t="s">
        <v>3066</v>
      </c>
    </row>
    <row r="1816" spans="1:26" x14ac:dyDescent="0.25">
      <c r="A1816">
        <v>905</v>
      </c>
      <c r="C1816">
        <v>1214</v>
      </c>
      <c r="D1816" t="s">
        <v>421</v>
      </c>
      <c r="E1816" t="s">
        <v>3067</v>
      </c>
      <c r="F1816" t="s">
        <v>51</v>
      </c>
      <c r="G1816" t="s">
        <v>3068</v>
      </c>
      <c r="H1816" t="str">
        <f>"201403000205"</f>
        <v>201403000205</v>
      </c>
      <c r="I1816">
        <v>777.7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Y1816">
        <v>0</v>
      </c>
      <c r="Z1816">
        <v>777.7</v>
      </c>
    </row>
    <row r="1817" spans="1:26" x14ac:dyDescent="0.25">
      <c r="H1817" t="s">
        <v>3069</v>
      </c>
    </row>
    <row r="1818" spans="1:26" x14ac:dyDescent="0.25">
      <c r="A1818">
        <v>906</v>
      </c>
      <c r="C1818">
        <v>12420</v>
      </c>
      <c r="D1818" t="s">
        <v>3070</v>
      </c>
      <c r="E1818" t="s">
        <v>3071</v>
      </c>
      <c r="F1818" t="s">
        <v>73</v>
      </c>
      <c r="G1818" t="s">
        <v>3072</v>
      </c>
      <c r="H1818" t="str">
        <f>"00738618"</f>
        <v>00738618</v>
      </c>
      <c r="I1818">
        <v>777.7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Y1818">
        <v>0</v>
      </c>
      <c r="Z1818">
        <v>777.7</v>
      </c>
    </row>
    <row r="1819" spans="1:26" x14ac:dyDescent="0.25">
      <c r="H1819" t="s">
        <v>3073</v>
      </c>
    </row>
    <row r="1820" spans="1:26" x14ac:dyDescent="0.25">
      <c r="A1820">
        <v>907</v>
      </c>
      <c r="C1820">
        <v>998</v>
      </c>
      <c r="D1820" t="s">
        <v>3074</v>
      </c>
      <c r="E1820" t="s">
        <v>777</v>
      </c>
      <c r="F1820" t="s">
        <v>39</v>
      </c>
      <c r="G1820" t="s">
        <v>3075</v>
      </c>
      <c r="H1820" t="str">
        <f>"200909000267"</f>
        <v>200909000267</v>
      </c>
      <c r="I1820">
        <v>746.9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30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Y1820">
        <v>0</v>
      </c>
      <c r="Z1820">
        <v>776.9</v>
      </c>
    </row>
    <row r="1821" spans="1:26" x14ac:dyDescent="0.25">
      <c r="H1821" t="s">
        <v>2363</v>
      </c>
    </row>
    <row r="1822" spans="1:26" x14ac:dyDescent="0.25">
      <c r="A1822">
        <v>908</v>
      </c>
      <c r="C1822">
        <v>15498</v>
      </c>
      <c r="D1822" t="s">
        <v>1078</v>
      </c>
      <c r="E1822" t="s">
        <v>777</v>
      </c>
      <c r="F1822" t="s">
        <v>148</v>
      </c>
      <c r="G1822" t="s">
        <v>3076</v>
      </c>
      <c r="H1822" t="str">
        <f>"201511028059"</f>
        <v>201511028059</v>
      </c>
      <c r="I1822">
        <v>746.9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30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Y1822">
        <v>0</v>
      </c>
      <c r="Z1822">
        <v>776.9</v>
      </c>
    </row>
    <row r="1823" spans="1:26" x14ac:dyDescent="0.25">
      <c r="H1823" t="s">
        <v>3077</v>
      </c>
    </row>
    <row r="1824" spans="1:26" x14ac:dyDescent="0.25">
      <c r="A1824">
        <v>909</v>
      </c>
      <c r="B1824" t="s">
        <v>783</v>
      </c>
      <c r="C1824">
        <v>16182</v>
      </c>
      <c r="D1824" t="s">
        <v>3078</v>
      </c>
      <c r="E1824" t="s">
        <v>89</v>
      </c>
      <c r="F1824" t="s">
        <v>3079</v>
      </c>
      <c r="G1824" t="s">
        <v>3080</v>
      </c>
      <c r="H1824" t="str">
        <f>"00210104"</f>
        <v>00210104</v>
      </c>
      <c r="I1824">
        <v>746.9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30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Y1824">
        <v>2</v>
      </c>
      <c r="Z1824">
        <v>776.9</v>
      </c>
    </row>
    <row r="1825" spans="1:26" x14ac:dyDescent="0.25">
      <c r="H1825" t="s">
        <v>3081</v>
      </c>
    </row>
    <row r="1826" spans="1:26" x14ac:dyDescent="0.25">
      <c r="A1826">
        <v>910</v>
      </c>
      <c r="C1826">
        <v>6446</v>
      </c>
      <c r="D1826" t="s">
        <v>3082</v>
      </c>
      <c r="E1826" t="s">
        <v>56</v>
      </c>
      <c r="F1826" t="s">
        <v>148</v>
      </c>
      <c r="G1826" t="s">
        <v>3083</v>
      </c>
      <c r="H1826" t="str">
        <f>"201511010293"</f>
        <v>201511010293</v>
      </c>
      <c r="I1826">
        <v>745.8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30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Y1826">
        <v>0</v>
      </c>
      <c r="Z1826">
        <v>775.8</v>
      </c>
    </row>
    <row r="1827" spans="1:26" x14ac:dyDescent="0.25">
      <c r="H1827" t="s">
        <v>3084</v>
      </c>
    </row>
    <row r="1828" spans="1:26" x14ac:dyDescent="0.25">
      <c r="A1828">
        <v>911</v>
      </c>
      <c r="C1828">
        <v>3560</v>
      </c>
      <c r="D1828" t="s">
        <v>3085</v>
      </c>
      <c r="E1828" t="s">
        <v>127</v>
      </c>
      <c r="F1828" t="s">
        <v>126</v>
      </c>
      <c r="G1828" t="s">
        <v>3086</v>
      </c>
      <c r="H1828" t="str">
        <f>"201511025278"</f>
        <v>201511025278</v>
      </c>
      <c r="I1828">
        <v>775.5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Y1828">
        <v>0</v>
      </c>
      <c r="Z1828">
        <v>775.5</v>
      </c>
    </row>
    <row r="1829" spans="1:26" x14ac:dyDescent="0.25">
      <c r="H1829" t="s">
        <v>3087</v>
      </c>
    </row>
    <row r="1830" spans="1:26" x14ac:dyDescent="0.25">
      <c r="A1830">
        <v>912</v>
      </c>
      <c r="B1830" t="s">
        <v>3088</v>
      </c>
      <c r="C1830">
        <v>2299</v>
      </c>
      <c r="D1830" t="s">
        <v>3089</v>
      </c>
      <c r="E1830" t="s">
        <v>410</v>
      </c>
      <c r="F1830" t="s">
        <v>90</v>
      </c>
      <c r="G1830" t="s">
        <v>3090</v>
      </c>
      <c r="H1830" t="str">
        <f>"00556800"</f>
        <v>00556800</v>
      </c>
      <c r="I1830">
        <v>775.5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Y1830">
        <v>0</v>
      </c>
      <c r="Z1830">
        <v>775.5</v>
      </c>
    </row>
    <row r="1831" spans="1:26" x14ac:dyDescent="0.25">
      <c r="H1831" t="s">
        <v>3091</v>
      </c>
    </row>
    <row r="1832" spans="1:26" x14ac:dyDescent="0.25">
      <c r="A1832">
        <v>913</v>
      </c>
      <c r="C1832">
        <v>9156</v>
      </c>
      <c r="D1832" t="s">
        <v>3092</v>
      </c>
      <c r="E1832" t="s">
        <v>395</v>
      </c>
      <c r="F1832" t="s">
        <v>3093</v>
      </c>
      <c r="G1832" t="s">
        <v>3094</v>
      </c>
      <c r="H1832" t="str">
        <f>"00047290"</f>
        <v>00047290</v>
      </c>
      <c r="I1832">
        <v>774.4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Y1832">
        <v>0</v>
      </c>
      <c r="Z1832">
        <v>774.4</v>
      </c>
    </row>
    <row r="1833" spans="1:26" x14ac:dyDescent="0.25">
      <c r="H1833" t="s">
        <v>3095</v>
      </c>
    </row>
    <row r="1834" spans="1:26" x14ac:dyDescent="0.25">
      <c r="A1834">
        <v>914</v>
      </c>
      <c r="C1834">
        <v>3774</v>
      </c>
      <c r="D1834" t="s">
        <v>3096</v>
      </c>
      <c r="E1834" t="s">
        <v>90</v>
      </c>
      <c r="F1834" t="s">
        <v>2201</v>
      </c>
      <c r="G1834" t="s">
        <v>3097</v>
      </c>
      <c r="H1834" t="str">
        <f>"00729388"</f>
        <v>00729388</v>
      </c>
      <c r="I1834">
        <v>713.9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30</v>
      </c>
      <c r="P1834">
        <v>0</v>
      </c>
      <c r="Q1834">
        <v>30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Y1834">
        <v>0</v>
      </c>
      <c r="Z1834">
        <v>773.9</v>
      </c>
    </row>
    <row r="1835" spans="1:26" x14ac:dyDescent="0.25">
      <c r="H1835" t="s">
        <v>3098</v>
      </c>
    </row>
    <row r="1836" spans="1:26" x14ac:dyDescent="0.25">
      <c r="A1836">
        <v>915</v>
      </c>
      <c r="C1836">
        <v>8126</v>
      </c>
      <c r="D1836" t="s">
        <v>142</v>
      </c>
      <c r="E1836" t="s">
        <v>3099</v>
      </c>
      <c r="F1836" t="s">
        <v>39</v>
      </c>
      <c r="G1836" t="s">
        <v>3100</v>
      </c>
      <c r="H1836" t="str">
        <f>"201511011692"</f>
        <v>201511011692</v>
      </c>
      <c r="I1836">
        <v>743.6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30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Y1836">
        <v>0</v>
      </c>
      <c r="Z1836">
        <v>773.6</v>
      </c>
    </row>
    <row r="1837" spans="1:26" x14ac:dyDescent="0.25">
      <c r="H1837" t="s">
        <v>3101</v>
      </c>
    </row>
    <row r="1838" spans="1:26" x14ac:dyDescent="0.25">
      <c r="A1838">
        <v>916</v>
      </c>
      <c r="C1838">
        <v>5510</v>
      </c>
      <c r="D1838" t="s">
        <v>3102</v>
      </c>
      <c r="E1838" t="s">
        <v>268</v>
      </c>
      <c r="F1838" t="s">
        <v>204</v>
      </c>
      <c r="G1838" t="s">
        <v>3103</v>
      </c>
      <c r="H1838" t="str">
        <f>"00017788"</f>
        <v>00017788</v>
      </c>
      <c r="I1838">
        <v>773.3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Y1838">
        <v>0</v>
      </c>
      <c r="Z1838">
        <v>773.3</v>
      </c>
    </row>
    <row r="1839" spans="1:26" x14ac:dyDescent="0.25">
      <c r="H1839" t="s">
        <v>3104</v>
      </c>
    </row>
    <row r="1840" spans="1:26" x14ac:dyDescent="0.25">
      <c r="A1840">
        <v>917</v>
      </c>
      <c r="C1840">
        <v>11704</v>
      </c>
      <c r="D1840" t="s">
        <v>3105</v>
      </c>
      <c r="E1840" t="s">
        <v>112</v>
      </c>
      <c r="F1840" t="s">
        <v>3106</v>
      </c>
      <c r="G1840" t="s">
        <v>3107</v>
      </c>
      <c r="H1840" t="str">
        <f>"00019832"</f>
        <v>00019832</v>
      </c>
      <c r="I1840">
        <v>742.5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30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Y1840">
        <v>0</v>
      </c>
      <c r="Z1840">
        <v>772.5</v>
      </c>
    </row>
    <row r="1841" spans="1:26" x14ac:dyDescent="0.25">
      <c r="H1841" t="s">
        <v>3108</v>
      </c>
    </row>
    <row r="1842" spans="1:26" x14ac:dyDescent="0.25">
      <c r="A1842">
        <v>918</v>
      </c>
      <c r="C1842">
        <v>11849</v>
      </c>
      <c r="D1842" t="s">
        <v>2623</v>
      </c>
      <c r="E1842" t="s">
        <v>113</v>
      </c>
      <c r="F1842" t="s">
        <v>16</v>
      </c>
      <c r="G1842" t="s">
        <v>3109</v>
      </c>
      <c r="H1842" t="str">
        <f>"00021372"</f>
        <v>00021372</v>
      </c>
      <c r="I1842">
        <v>772.2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Y1842">
        <v>0</v>
      </c>
      <c r="Z1842">
        <v>772.2</v>
      </c>
    </row>
    <row r="1843" spans="1:26" x14ac:dyDescent="0.25">
      <c r="H1843" t="s">
        <v>3110</v>
      </c>
    </row>
    <row r="1844" spans="1:26" x14ac:dyDescent="0.25">
      <c r="A1844">
        <v>919</v>
      </c>
      <c r="C1844">
        <v>2175</v>
      </c>
      <c r="D1844" t="s">
        <v>3111</v>
      </c>
      <c r="E1844" t="s">
        <v>842</v>
      </c>
      <c r="F1844" t="s">
        <v>51</v>
      </c>
      <c r="G1844" t="s">
        <v>3112</v>
      </c>
      <c r="H1844" t="str">
        <f>"00660768"</f>
        <v>00660768</v>
      </c>
      <c r="I1844">
        <v>741.4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30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Y1844">
        <v>2</v>
      </c>
      <c r="Z1844">
        <v>771.4</v>
      </c>
    </row>
    <row r="1845" spans="1:26" x14ac:dyDescent="0.25">
      <c r="H1845" t="s">
        <v>3113</v>
      </c>
    </row>
    <row r="1846" spans="1:26" x14ac:dyDescent="0.25">
      <c r="A1846">
        <v>920</v>
      </c>
      <c r="C1846">
        <v>9849</v>
      </c>
      <c r="D1846" t="s">
        <v>3114</v>
      </c>
      <c r="E1846" t="s">
        <v>89</v>
      </c>
      <c r="F1846" t="s">
        <v>290</v>
      </c>
      <c r="G1846" t="s">
        <v>3115</v>
      </c>
      <c r="H1846" t="str">
        <f>"201510004767"</f>
        <v>201510004767</v>
      </c>
      <c r="I1846">
        <v>770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Y1846">
        <v>0</v>
      </c>
      <c r="Z1846">
        <v>770</v>
      </c>
    </row>
    <row r="1847" spans="1:26" x14ac:dyDescent="0.25">
      <c r="H1847" t="s">
        <v>3116</v>
      </c>
    </row>
    <row r="1848" spans="1:26" x14ac:dyDescent="0.25">
      <c r="A1848">
        <v>921</v>
      </c>
      <c r="C1848">
        <v>1866</v>
      </c>
      <c r="D1848" t="s">
        <v>3117</v>
      </c>
      <c r="E1848" t="s">
        <v>3118</v>
      </c>
      <c r="F1848" t="s">
        <v>90</v>
      </c>
      <c r="G1848" t="s">
        <v>3119</v>
      </c>
      <c r="H1848" t="str">
        <f>"201511027305"</f>
        <v>201511027305</v>
      </c>
      <c r="I1848">
        <v>739.2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30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Y1848">
        <v>0</v>
      </c>
      <c r="Z1848">
        <v>769.2</v>
      </c>
    </row>
    <row r="1849" spans="1:26" x14ac:dyDescent="0.25">
      <c r="H1849" t="s">
        <v>3120</v>
      </c>
    </row>
    <row r="1850" spans="1:26" x14ac:dyDescent="0.25">
      <c r="A1850">
        <v>922</v>
      </c>
      <c r="B1850" t="s">
        <v>3121</v>
      </c>
      <c r="C1850">
        <v>13740</v>
      </c>
      <c r="D1850" t="s">
        <v>3122</v>
      </c>
      <c r="E1850" t="s">
        <v>3123</v>
      </c>
      <c r="F1850" t="s">
        <v>39</v>
      </c>
      <c r="G1850" t="s">
        <v>3124</v>
      </c>
      <c r="H1850" t="str">
        <f>"201511013031"</f>
        <v>201511013031</v>
      </c>
      <c r="I1850">
        <v>768.9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Y1850">
        <v>0</v>
      </c>
      <c r="Z1850">
        <v>768.9</v>
      </c>
    </row>
    <row r="1851" spans="1:26" x14ac:dyDescent="0.25">
      <c r="H1851" t="s">
        <v>3125</v>
      </c>
    </row>
    <row r="1852" spans="1:26" x14ac:dyDescent="0.25">
      <c r="A1852">
        <v>923</v>
      </c>
      <c r="C1852">
        <v>9100</v>
      </c>
      <c r="D1852" t="s">
        <v>3126</v>
      </c>
      <c r="E1852" t="s">
        <v>406</v>
      </c>
      <c r="F1852" t="s">
        <v>148</v>
      </c>
      <c r="G1852" t="s">
        <v>3127</v>
      </c>
      <c r="H1852" t="str">
        <f>"00496377"</f>
        <v>00496377</v>
      </c>
      <c r="I1852">
        <v>738.1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30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Y1852">
        <v>0</v>
      </c>
      <c r="Z1852">
        <v>768.1</v>
      </c>
    </row>
    <row r="1853" spans="1:26" x14ac:dyDescent="0.25">
      <c r="H1853" t="s">
        <v>3128</v>
      </c>
    </row>
    <row r="1854" spans="1:26" x14ac:dyDescent="0.25">
      <c r="A1854">
        <v>924</v>
      </c>
      <c r="C1854">
        <v>11727</v>
      </c>
      <c r="D1854" t="s">
        <v>3129</v>
      </c>
      <c r="E1854" t="s">
        <v>56</v>
      </c>
      <c r="F1854" t="s">
        <v>127</v>
      </c>
      <c r="G1854" t="s">
        <v>3130</v>
      </c>
      <c r="H1854" t="str">
        <f>"201001000059"</f>
        <v>201001000059</v>
      </c>
      <c r="I1854">
        <v>767.8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Y1854">
        <v>0</v>
      </c>
      <c r="Z1854">
        <v>767.8</v>
      </c>
    </row>
    <row r="1855" spans="1:26" x14ac:dyDescent="0.25">
      <c r="H1855" t="s">
        <v>3131</v>
      </c>
    </row>
    <row r="1856" spans="1:26" x14ac:dyDescent="0.25">
      <c r="A1856">
        <v>925</v>
      </c>
      <c r="C1856">
        <v>14391</v>
      </c>
      <c r="D1856" t="s">
        <v>3132</v>
      </c>
      <c r="E1856" t="s">
        <v>164</v>
      </c>
      <c r="F1856" t="s">
        <v>3133</v>
      </c>
      <c r="G1856" t="s">
        <v>3134</v>
      </c>
      <c r="H1856" t="str">
        <f>"201511017519"</f>
        <v>201511017519</v>
      </c>
      <c r="I1856">
        <v>707.3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30</v>
      </c>
      <c r="P1856">
        <v>0</v>
      </c>
      <c r="Q1856">
        <v>30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Y1856">
        <v>0</v>
      </c>
      <c r="Z1856">
        <v>767.3</v>
      </c>
    </row>
    <row r="1857" spans="1:26" x14ac:dyDescent="0.25">
      <c r="H1857" t="s">
        <v>3135</v>
      </c>
    </row>
    <row r="1858" spans="1:26" x14ac:dyDescent="0.25">
      <c r="A1858">
        <v>926</v>
      </c>
      <c r="C1858">
        <v>10709</v>
      </c>
      <c r="D1858" t="s">
        <v>1691</v>
      </c>
      <c r="E1858" t="s">
        <v>275</v>
      </c>
      <c r="F1858" t="s">
        <v>39</v>
      </c>
      <c r="G1858" t="s">
        <v>3136</v>
      </c>
      <c r="H1858" t="str">
        <f>"00655016"</f>
        <v>00655016</v>
      </c>
      <c r="I1858">
        <v>737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30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Y1858">
        <v>0</v>
      </c>
      <c r="Z1858">
        <v>767</v>
      </c>
    </row>
    <row r="1859" spans="1:26" x14ac:dyDescent="0.25">
      <c r="H1859" t="s">
        <v>3137</v>
      </c>
    </row>
    <row r="1860" spans="1:26" x14ac:dyDescent="0.25">
      <c r="A1860">
        <v>927</v>
      </c>
      <c r="C1860">
        <v>16108</v>
      </c>
      <c r="D1860" t="s">
        <v>3138</v>
      </c>
      <c r="E1860" t="s">
        <v>365</v>
      </c>
      <c r="F1860" t="s">
        <v>842</v>
      </c>
      <c r="G1860" t="s">
        <v>3139</v>
      </c>
      <c r="H1860" t="str">
        <f>"00049344"</f>
        <v>00049344</v>
      </c>
      <c r="I1860">
        <v>737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30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Y1860">
        <v>0</v>
      </c>
      <c r="Z1860">
        <v>767</v>
      </c>
    </row>
    <row r="1861" spans="1:26" x14ac:dyDescent="0.25">
      <c r="H1861" t="s">
        <v>3140</v>
      </c>
    </row>
    <row r="1862" spans="1:26" x14ac:dyDescent="0.25">
      <c r="A1862">
        <v>928</v>
      </c>
      <c r="C1862">
        <v>13053</v>
      </c>
      <c r="D1862" t="s">
        <v>3141</v>
      </c>
      <c r="E1862" t="s">
        <v>133</v>
      </c>
      <c r="F1862" t="s">
        <v>194</v>
      </c>
      <c r="G1862" t="s">
        <v>3142</v>
      </c>
      <c r="H1862" t="str">
        <f>"201511037623"</f>
        <v>201511037623</v>
      </c>
      <c r="I1862">
        <v>696.3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70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Y1862">
        <v>0</v>
      </c>
      <c r="Z1862">
        <v>766.3</v>
      </c>
    </row>
    <row r="1863" spans="1:26" x14ac:dyDescent="0.25">
      <c r="H1863" t="s">
        <v>3143</v>
      </c>
    </row>
    <row r="1864" spans="1:26" x14ac:dyDescent="0.25">
      <c r="A1864">
        <v>929</v>
      </c>
      <c r="C1864">
        <v>7837</v>
      </c>
      <c r="D1864" t="s">
        <v>3144</v>
      </c>
      <c r="E1864" t="s">
        <v>67</v>
      </c>
      <c r="F1864" t="s">
        <v>73</v>
      </c>
      <c r="G1864" t="s">
        <v>3145</v>
      </c>
      <c r="H1864" t="str">
        <f>"201510004908"</f>
        <v>201510004908</v>
      </c>
      <c r="I1864">
        <v>735.9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30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Y1864">
        <v>0</v>
      </c>
      <c r="Z1864">
        <v>765.9</v>
      </c>
    </row>
    <row r="1865" spans="1:26" x14ac:dyDescent="0.25">
      <c r="H1865" t="s">
        <v>3146</v>
      </c>
    </row>
    <row r="1866" spans="1:26" x14ac:dyDescent="0.25">
      <c r="A1866">
        <v>930</v>
      </c>
      <c r="C1866">
        <v>5142</v>
      </c>
      <c r="D1866" t="s">
        <v>3147</v>
      </c>
      <c r="E1866" t="s">
        <v>365</v>
      </c>
      <c r="F1866" t="s">
        <v>194</v>
      </c>
      <c r="G1866" t="s">
        <v>3148</v>
      </c>
      <c r="H1866" t="str">
        <f>"201511036660"</f>
        <v>201511036660</v>
      </c>
      <c r="I1866">
        <v>735.9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30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Y1866">
        <v>0</v>
      </c>
      <c r="Z1866">
        <v>765.9</v>
      </c>
    </row>
    <row r="1867" spans="1:26" x14ac:dyDescent="0.25">
      <c r="H1867" t="s">
        <v>3149</v>
      </c>
    </row>
    <row r="1868" spans="1:26" x14ac:dyDescent="0.25">
      <c r="A1868">
        <v>931</v>
      </c>
      <c r="C1868">
        <v>14047</v>
      </c>
      <c r="D1868" t="s">
        <v>3150</v>
      </c>
      <c r="E1868" t="s">
        <v>170</v>
      </c>
      <c r="F1868" t="s">
        <v>194</v>
      </c>
      <c r="G1868" t="s">
        <v>3151</v>
      </c>
      <c r="H1868" t="str">
        <f>"201511042809"</f>
        <v>201511042809</v>
      </c>
      <c r="I1868">
        <v>765.6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Y1868">
        <v>0</v>
      </c>
      <c r="Z1868">
        <v>765.6</v>
      </c>
    </row>
    <row r="1869" spans="1:26" x14ac:dyDescent="0.25">
      <c r="H1869" t="s">
        <v>3152</v>
      </c>
    </row>
    <row r="1870" spans="1:26" x14ac:dyDescent="0.25">
      <c r="A1870">
        <v>932</v>
      </c>
      <c r="C1870">
        <v>3892</v>
      </c>
      <c r="D1870" t="s">
        <v>3153</v>
      </c>
      <c r="E1870" t="s">
        <v>289</v>
      </c>
      <c r="F1870" t="s">
        <v>39</v>
      </c>
      <c r="G1870" t="s">
        <v>3154</v>
      </c>
      <c r="H1870" t="str">
        <f>"201511027375"</f>
        <v>201511027375</v>
      </c>
      <c r="I1870">
        <v>765.6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Y1870">
        <v>0</v>
      </c>
      <c r="Z1870">
        <v>765.6</v>
      </c>
    </row>
    <row r="1871" spans="1:26" x14ac:dyDescent="0.25">
      <c r="H1871" t="s">
        <v>3155</v>
      </c>
    </row>
    <row r="1872" spans="1:26" x14ac:dyDescent="0.25">
      <c r="A1872">
        <v>933</v>
      </c>
      <c r="C1872">
        <v>17447</v>
      </c>
      <c r="D1872" t="s">
        <v>3156</v>
      </c>
      <c r="E1872" t="s">
        <v>3157</v>
      </c>
      <c r="F1872" t="s">
        <v>39</v>
      </c>
      <c r="G1872" t="s">
        <v>3158</v>
      </c>
      <c r="H1872" t="str">
        <f>"00031602"</f>
        <v>00031602</v>
      </c>
      <c r="I1872">
        <v>765.6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Y1872">
        <v>0</v>
      </c>
      <c r="Z1872">
        <v>765.6</v>
      </c>
    </row>
    <row r="1873" spans="1:26" x14ac:dyDescent="0.25">
      <c r="H1873" t="s">
        <v>3159</v>
      </c>
    </row>
    <row r="1874" spans="1:26" x14ac:dyDescent="0.25">
      <c r="A1874">
        <v>934</v>
      </c>
      <c r="C1874">
        <v>14029</v>
      </c>
      <c r="D1874" t="s">
        <v>3160</v>
      </c>
      <c r="E1874" t="s">
        <v>3161</v>
      </c>
      <c r="F1874" t="s">
        <v>51</v>
      </c>
      <c r="G1874" t="s">
        <v>3162</v>
      </c>
      <c r="H1874" t="str">
        <f>"00496632"</f>
        <v>00496632</v>
      </c>
      <c r="I1874">
        <v>765.6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Y1874">
        <v>0</v>
      </c>
      <c r="Z1874">
        <v>765.6</v>
      </c>
    </row>
    <row r="1875" spans="1:26" x14ac:dyDescent="0.25">
      <c r="H1875" t="s">
        <v>3163</v>
      </c>
    </row>
    <row r="1876" spans="1:26" x14ac:dyDescent="0.25">
      <c r="A1876">
        <v>935</v>
      </c>
      <c r="C1876">
        <v>7791</v>
      </c>
      <c r="D1876" t="s">
        <v>3164</v>
      </c>
      <c r="E1876" t="s">
        <v>248</v>
      </c>
      <c r="F1876" t="s">
        <v>342</v>
      </c>
      <c r="G1876" t="s">
        <v>3165</v>
      </c>
      <c r="H1876" t="str">
        <f>"201511017397"</f>
        <v>201511017397</v>
      </c>
      <c r="I1876">
        <v>715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50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Y1876">
        <v>0</v>
      </c>
      <c r="Z1876">
        <v>765</v>
      </c>
    </row>
    <row r="1877" spans="1:26" x14ac:dyDescent="0.25">
      <c r="H1877" t="s">
        <v>3166</v>
      </c>
    </row>
    <row r="1878" spans="1:26" x14ac:dyDescent="0.25">
      <c r="A1878">
        <v>936</v>
      </c>
      <c r="C1878">
        <v>13008</v>
      </c>
      <c r="D1878" t="s">
        <v>3167</v>
      </c>
      <c r="E1878" t="s">
        <v>1588</v>
      </c>
      <c r="F1878" t="s">
        <v>16</v>
      </c>
      <c r="G1878" t="s">
        <v>3168</v>
      </c>
      <c r="H1878" t="str">
        <f>"00022390"</f>
        <v>00022390</v>
      </c>
      <c r="I1878">
        <v>733.7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30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Y1878">
        <v>0</v>
      </c>
      <c r="Z1878">
        <v>763.7</v>
      </c>
    </row>
    <row r="1879" spans="1:26" x14ac:dyDescent="0.25">
      <c r="H1879" t="s">
        <v>3169</v>
      </c>
    </row>
    <row r="1880" spans="1:26" x14ac:dyDescent="0.25">
      <c r="A1880">
        <v>937</v>
      </c>
      <c r="C1880">
        <v>7233</v>
      </c>
      <c r="D1880" t="s">
        <v>3170</v>
      </c>
      <c r="E1880" t="s">
        <v>3171</v>
      </c>
      <c r="F1880" t="s">
        <v>3172</v>
      </c>
      <c r="G1880" t="s">
        <v>3173</v>
      </c>
      <c r="H1880" t="str">
        <f>"00670063"</f>
        <v>00670063</v>
      </c>
      <c r="I1880">
        <v>733.7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30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Y1880">
        <v>0</v>
      </c>
      <c r="Z1880">
        <v>763.7</v>
      </c>
    </row>
    <row r="1881" spans="1:26" x14ac:dyDescent="0.25">
      <c r="H1881" t="s">
        <v>2004</v>
      </c>
    </row>
    <row r="1882" spans="1:26" x14ac:dyDescent="0.25">
      <c r="A1882">
        <v>938</v>
      </c>
      <c r="C1882">
        <v>5999</v>
      </c>
      <c r="D1882" t="s">
        <v>3174</v>
      </c>
      <c r="E1882" t="s">
        <v>235</v>
      </c>
      <c r="F1882" t="s">
        <v>16</v>
      </c>
      <c r="G1882" t="s">
        <v>3175</v>
      </c>
      <c r="H1882" t="str">
        <f>"201511035207"</f>
        <v>201511035207</v>
      </c>
      <c r="I1882">
        <v>763.4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Y1882">
        <v>0</v>
      </c>
      <c r="Z1882">
        <v>763.4</v>
      </c>
    </row>
    <row r="1883" spans="1:26" x14ac:dyDescent="0.25">
      <c r="H1883" t="s">
        <v>3176</v>
      </c>
    </row>
    <row r="1884" spans="1:26" x14ac:dyDescent="0.25">
      <c r="A1884">
        <v>939</v>
      </c>
      <c r="C1884">
        <v>14105</v>
      </c>
      <c r="D1884" t="s">
        <v>2699</v>
      </c>
      <c r="E1884" t="s">
        <v>235</v>
      </c>
      <c r="F1884" t="s">
        <v>90</v>
      </c>
      <c r="G1884" t="s">
        <v>3177</v>
      </c>
      <c r="H1884" t="str">
        <f>"201511014832"</f>
        <v>201511014832</v>
      </c>
      <c r="I1884">
        <v>732.6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30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Y1884">
        <v>1</v>
      </c>
      <c r="Z1884">
        <v>762.6</v>
      </c>
    </row>
    <row r="1885" spans="1:26" x14ac:dyDescent="0.25">
      <c r="H1885" t="s">
        <v>3178</v>
      </c>
    </row>
    <row r="1886" spans="1:26" x14ac:dyDescent="0.25">
      <c r="A1886">
        <v>940</v>
      </c>
      <c r="C1886">
        <v>5907</v>
      </c>
      <c r="D1886" t="s">
        <v>736</v>
      </c>
      <c r="E1886" t="s">
        <v>902</v>
      </c>
      <c r="F1886" t="s">
        <v>16</v>
      </c>
      <c r="G1886" t="s">
        <v>3179</v>
      </c>
      <c r="H1886" t="str">
        <f>"00037463"</f>
        <v>00037463</v>
      </c>
      <c r="I1886">
        <v>732.6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30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Y1886">
        <v>1</v>
      </c>
      <c r="Z1886">
        <v>762.6</v>
      </c>
    </row>
    <row r="1887" spans="1:26" x14ac:dyDescent="0.25">
      <c r="H1887" t="s">
        <v>3180</v>
      </c>
    </row>
    <row r="1888" spans="1:26" x14ac:dyDescent="0.25">
      <c r="A1888">
        <v>941</v>
      </c>
      <c r="C1888">
        <v>5985</v>
      </c>
      <c r="D1888" t="s">
        <v>3181</v>
      </c>
      <c r="E1888" t="s">
        <v>902</v>
      </c>
      <c r="F1888" t="s">
        <v>39</v>
      </c>
      <c r="G1888" t="s">
        <v>3182</v>
      </c>
      <c r="H1888" t="str">
        <f>"201511026622"</f>
        <v>201511026622</v>
      </c>
      <c r="I1888">
        <v>762.3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Y1888">
        <v>0</v>
      </c>
      <c r="Z1888">
        <v>762.3</v>
      </c>
    </row>
    <row r="1889" spans="1:26" x14ac:dyDescent="0.25">
      <c r="H1889" t="s">
        <v>3183</v>
      </c>
    </row>
    <row r="1890" spans="1:26" x14ac:dyDescent="0.25">
      <c r="A1890">
        <v>942</v>
      </c>
      <c r="C1890">
        <v>1245</v>
      </c>
      <c r="D1890" t="s">
        <v>3184</v>
      </c>
      <c r="E1890" t="s">
        <v>51</v>
      </c>
      <c r="F1890" t="s">
        <v>78</v>
      </c>
      <c r="G1890" t="s">
        <v>3185</v>
      </c>
      <c r="H1890" t="str">
        <f>"201511036362"</f>
        <v>201511036362</v>
      </c>
      <c r="I1890">
        <v>762.3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Y1890">
        <v>0</v>
      </c>
      <c r="Z1890">
        <v>762.3</v>
      </c>
    </row>
    <row r="1891" spans="1:26" x14ac:dyDescent="0.25">
      <c r="H1891" t="s">
        <v>3186</v>
      </c>
    </row>
    <row r="1892" spans="1:26" x14ac:dyDescent="0.25">
      <c r="A1892">
        <v>943</v>
      </c>
      <c r="C1892">
        <v>9273</v>
      </c>
      <c r="D1892" t="s">
        <v>3187</v>
      </c>
      <c r="E1892" t="s">
        <v>248</v>
      </c>
      <c r="F1892" t="s">
        <v>127</v>
      </c>
      <c r="G1892" t="s">
        <v>3188</v>
      </c>
      <c r="H1892" t="str">
        <f>"00738041"</f>
        <v>00738041</v>
      </c>
      <c r="I1892">
        <v>762.3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Y1892">
        <v>0</v>
      </c>
      <c r="Z1892">
        <v>762.3</v>
      </c>
    </row>
    <row r="1893" spans="1:26" x14ac:dyDescent="0.25">
      <c r="H1893" t="s">
        <v>3189</v>
      </c>
    </row>
    <row r="1894" spans="1:26" x14ac:dyDescent="0.25">
      <c r="A1894">
        <v>944</v>
      </c>
      <c r="C1894">
        <v>3137</v>
      </c>
      <c r="D1894" t="s">
        <v>3190</v>
      </c>
      <c r="E1894" t="s">
        <v>264</v>
      </c>
      <c r="F1894" t="s">
        <v>16</v>
      </c>
      <c r="G1894" t="s">
        <v>3191</v>
      </c>
      <c r="H1894" t="str">
        <f>"201511013965"</f>
        <v>201511013965</v>
      </c>
      <c r="I1894">
        <v>731.5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30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Y1894">
        <v>0</v>
      </c>
      <c r="Z1894">
        <v>761.5</v>
      </c>
    </row>
    <row r="1895" spans="1:26" x14ac:dyDescent="0.25">
      <c r="H1895" t="s">
        <v>3192</v>
      </c>
    </row>
    <row r="1896" spans="1:26" x14ac:dyDescent="0.25">
      <c r="A1896">
        <v>945</v>
      </c>
      <c r="C1896">
        <v>12994</v>
      </c>
      <c r="D1896" t="s">
        <v>3193</v>
      </c>
      <c r="E1896" t="s">
        <v>279</v>
      </c>
      <c r="F1896" t="s">
        <v>1440</v>
      </c>
      <c r="G1896" t="s">
        <v>3194</v>
      </c>
      <c r="H1896" t="str">
        <f>"201505000357"</f>
        <v>201505000357</v>
      </c>
      <c r="I1896">
        <v>731.5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30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Y1896">
        <v>0</v>
      </c>
      <c r="Z1896">
        <v>761.5</v>
      </c>
    </row>
    <row r="1897" spans="1:26" x14ac:dyDescent="0.25">
      <c r="H1897" t="s">
        <v>3195</v>
      </c>
    </row>
    <row r="1898" spans="1:26" x14ac:dyDescent="0.25">
      <c r="A1898">
        <v>946</v>
      </c>
      <c r="C1898">
        <v>359</v>
      </c>
      <c r="D1898" t="s">
        <v>495</v>
      </c>
      <c r="E1898" t="s">
        <v>208</v>
      </c>
      <c r="F1898" t="s">
        <v>194</v>
      </c>
      <c r="G1898" t="s">
        <v>3196</v>
      </c>
      <c r="H1898" t="str">
        <f>"201511010283"</f>
        <v>201511010283</v>
      </c>
      <c r="I1898">
        <v>730.4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30</v>
      </c>
      <c r="U1898">
        <v>0</v>
      </c>
      <c r="V1898">
        <v>0</v>
      </c>
      <c r="W1898">
        <v>0</v>
      </c>
      <c r="Y1898">
        <v>0</v>
      </c>
      <c r="Z1898">
        <v>760.4</v>
      </c>
    </row>
    <row r="1899" spans="1:26" x14ac:dyDescent="0.25">
      <c r="H1899" t="s">
        <v>3197</v>
      </c>
    </row>
    <row r="1900" spans="1:26" x14ac:dyDescent="0.25">
      <c r="A1900">
        <v>947</v>
      </c>
      <c r="C1900">
        <v>4761</v>
      </c>
      <c r="D1900" t="s">
        <v>3198</v>
      </c>
      <c r="E1900" t="s">
        <v>50</v>
      </c>
      <c r="F1900" t="s">
        <v>16</v>
      </c>
      <c r="G1900" t="s">
        <v>3199</v>
      </c>
      <c r="H1900" t="str">
        <f>"201511015000"</f>
        <v>201511015000</v>
      </c>
      <c r="I1900">
        <v>730.4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30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Y1900">
        <v>0</v>
      </c>
      <c r="Z1900">
        <v>760.4</v>
      </c>
    </row>
    <row r="1901" spans="1:26" x14ac:dyDescent="0.25">
      <c r="H1901" t="s">
        <v>3200</v>
      </c>
    </row>
    <row r="1902" spans="1:26" x14ac:dyDescent="0.25">
      <c r="A1902">
        <v>948</v>
      </c>
      <c r="B1902" t="s">
        <v>783</v>
      </c>
      <c r="C1902">
        <v>10732</v>
      </c>
      <c r="D1902" t="s">
        <v>3201</v>
      </c>
      <c r="E1902" t="s">
        <v>79</v>
      </c>
      <c r="F1902" t="s">
        <v>73</v>
      </c>
      <c r="G1902" t="s">
        <v>3202</v>
      </c>
      <c r="H1902" t="str">
        <f>"00016133"</f>
        <v>00016133</v>
      </c>
      <c r="I1902">
        <v>730.4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30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Y1902">
        <v>1</v>
      </c>
      <c r="Z1902">
        <v>760.4</v>
      </c>
    </row>
    <row r="1903" spans="1:26" x14ac:dyDescent="0.25">
      <c r="H1903" t="s">
        <v>3203</v>
      </c>
    </row>
    <row r="1904" spans="1:26" x14ac:dyDescent="0.25">
      <c r="A1904">
        <v>949</v>
      </c>
      <c r="C1904">
        <v>8018</v>
      </c>
      <c r="D1904" t="s">
        <v>3204</v>
      </c>
      <c r="E1904" t="s">
        <v>342</v>
      </c>
      <c r="F1904" t="s">
        <v>3205</v>
      </c>
      <c r="G1904" t="s">
        <v>3206</v>
      </c>
      <c r="H1904" t="str">
        <f>"201207000027"</f>
        <v>201207000027</v>
      </c>
      <c r="I1904">
        <v>760.1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Y1904">
        <v>0</v>
      </c>
      <c r="Z1904">
        <v>760.1</v>
      </c>
    </row>
    <row r="1905" spans="1:26" x14ac:dyDescent="0.25">
      <c r="H1905" t="s">
        <v>3207</v>
      </c>
    </row>
    <row r="1906" spans="1:26" x14ac:dyDescent="0.25">
      <c r="A1906">
        <v>950</v>
      </c>
      <c r="C1906">
        <v>8916</v>
      </c>
      <c r="D1906" t="s">
        <v>3208</v>
      </c>
      <c r="E1906" t="s">
        <v>3209</v>
      </c>
      <c r="F1906" t="s">
        <v>127</v>
      </c>
      <c r="G1906" t="s">
        <v>3210</v>
      </c>
      <c r="H1906" t="str">
        <f>"201511026354"</f>
        <v>201511026354</v>
      </c>
      <c r="I1906">
        <v>760.1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0</v>
      </c>
      <c r="Y1906">
        <v>0</v>
      </c>
      <c r="Z1906">
        <v>760.1</v>
      </c>
    </row>
    <row r="1907" spans="1:26" x14ac:dyDescent="0.25">
      <c r="H1907" t="s">
        <v>3211</v>
      </c>
    </row>
    <row r="1908" spans="1:26" x14ac:dyDescent="0.25">
      <c r="A1908">
        <v>951</v>
      </c>
      <c r="C1908">
        <v>4501</v>
      </c>
      <c r="D1908" t="s">
        <v>3212</v>
      </c>
      <c r="E1908" t="s">
        <v>488</v>
      </c>
      <c r="F1908" t="s">
        <v>73</v>
      </c>
      <c r="G1908" t="s">
        <v>3213</v>
      </c>
      <c r="H1908" t="str">
        <f>"201502002484"</f>
        <v>201502002484</v>
      </c>
      <c r="I1908">
        <v>759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Y1908">
        <v>0</v>
      </c>
      <c r="Z1908">
        <v>759</v>
      </c>
    </row>
    <row r="1909" spans="1:26" x14ac:dyDescent="0.25">
      <c r="H1909" t="s">
        <v>3214</v>
      </c>
    </row>
    <row r="1910" spans="1:26" x14ac:dyDescent="0.25">
      <c r="A1910">
        <v>952</v>
      </c>
      <c r="C1910">
        <v>15786</v>
      </c>
      <c r="D1910" t="s">
        <v>3215</v>
      </c>
      <c r="E1910" t="s">
        <v>3216</v>
      </c>
      <c r="F1910" t="s">
        <v>39</v>
      </c>
      <c r="G1910" t="s">
        <v>3217</v>
      </c>
      <c r="H1910" t="str">
        <f>"00717630"</f>
        <v>00717630</v>
      </c>
      <c r="I1910">
        <v>759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Y1910">
        <v>0</v>
      </c>
      <c r="Z1910">
        <v>759</v>
      </c>
    </row>
    <row r="1911" spans="1:26" x14ac:dyDescent="0.25">
      <c r="H1911" t="s">
        <v>3218</v>
      </c>
    </row>
    <row r="1912" spans="1:26" x14ac:dyDescent="0.25">
      <c r="A1912">
        <v>953</v>
      </c>
      <c r="C1912">
        <v>47</v>
      </c>
      <c r="D1912" t="s">
        <v>3219</v>
      </c>
      <c r="E1912" t="s">
        <v>279</v>
      </c>
      <c r="F1912" t="s">
        <v>138</v>
      </c>
      <c r="G1912" t="s">
        <v>3220</v>
      </c>
      <c r="H1912" t="str">
        <f>"201102000124"</f>
        <v>201102000124</v>
      </c>
      <c r="I1912">
        <v>759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0</v>
      </c>
      <c r="Y1912">
        <v>0</v>
      </c>
      <c r="Z1912">
        <v>759</v>
      </c>
    </row>
    <row r="1913" spans="1:26" x14ac:dyDescent="0.25">
      <c r="H1913" t="s">
        <v>3221</v>
      </c>
    </row>
    <row r="1914" spans="1:26" x14ac:dyDescent="0.25">
      <c r="A1914">
        <v>954</v>
      </c>
      <c r="C1914">
        <v>6251</v>
      </c>
      <c r="D1914" t="s">
        <v>3222</v>
      </c>
      <c r="E1914" t="s">
        <v>112</v>
      </c>
      <c r="F1914" t="s">
        <v>3223</v>
      </c>
      <c r="G1914" t="s">
        <v>3224</v>
      </c>
      <c r="H1914" t="str">
        <f>"201010000168"</f>
        <v>201010000168</v>
      </c>
      <c r="I1914">
        <v>759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Y1914">
        <v>0</v>
      </c>
      <c r="Z1914">
        <v>759</v>
      </c>
    </row>
    <row r="1915" spans="1:26" x14ac:dyDescent="0.25">
      <c r="H1915" t="s">
        <v>3225</v>
      </c>
    </row>
    <row r="1916" spans="1:26" x14ac:dyDescent="0.25">
      <c r="A1916">
        <v>955</v>
      </c>
      <c r="C1916">
        <v>8174</v>
      </c>
      <c r="D1916" t="s">
        <v>3226</v>
      </c>
      <c r="E1916" t="s">
        <v>1399</v>
      </c>
      <c r="F1916" t="s">
        <v>108</v>
      </c>
      <c r="G1916" t="s">
        <v>3227</v>
      </c>
      <c r="H1916" t="str">
        <f>"201511034950"</f>
        <v>201511034950</v>
      </c>
      <c r="I1916">
        <v>757.9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Y1916">
        <v>0</v>
      </c>
      <c r="Z1916">
        <v>757.9</v>
      </c>
    </row>
    <row r="1917" spans="1:26" x14ac:dyDescent="0.25">
      <c r="H1917" t="s">
        <v>3228</v>
      </c>
    </row>
    <row r="1918" spans="1:26" x14ac:dyDescent="0.25">
      <c r="A1918">
        <v>956</v>
      </c>
      <c r="C1918">
        <v>7973</v>
      </c>
      <c r="D1918" t="s">
        <v>3229</v>
      </c>
      <c r="E1918" t="s">
        <v>406</v>
      </c>
      <c r="F1918" t="s">
        <v>194</v>
      </c>
      <c r="G1918" t="s">
        <v>3230</v>
      </c>
      <c r="H1918" t="str">
        <f>"201511031642"</f>
        <v>201511031642</v>
      </c>
      <c r="I1918">
        <v>727.1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30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Y1918">
        <v>0</v>
      </c>
      <c r="Z1918">
        <v>757.1</v>
      </c>
    </row>
    <row r="1919" spans="1:26" x14ac:dyDescent="0.25">
      <c r="H1919" t="s">
        <v>3231</v>
      </c>
    </row>
    <row r="1920" spans="1:26" x14ac:dyDescent="0.25">
      <c r="A1920">
        <v>957</v>
      </c>
      <c r="C1920">
        <v>8231</v>
      </c>
      <c r="D1920" t="s">
        <v>3232</v>
      </c>
      <c r="E1920" t="s">
        <v>112</v>
      </c>
      <c r="F1920" t="s">
        <v>298</v>
      </c>
      <c r="G1920" t="s">
        <v>3233</v>
      </c>
      <c r="H1920" t="str">
        <f>"00489967"</f>
        <v>00489967</v>
      </c>
      <c r="I1920">
        <v>756.8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Y1920">
        <v>0</v>
      </c>
      <c r="Z1920">
        <v>756.8</v>
      </c>
    </row>
    <row r="1921" spans="1:26" x14ac:dyDescent="0.25">
      <c r="H1921" t="s">
        <v>3234</v>
      </c>
    </row>
    <row r="1922" spans="1:26" x14ac:dyDescent="0.25">
      <c r="A1922">
        <v>958</v>
      </c>
      <c r="C1922">
        <v>13540</v>
      </c>
      <c r="D1922" t="s">
        <v>3235</v>
      </c>
      <c r="E1922" t="s">
        <v>1334</v>
      </c>
      <c r="F1922" t="s">
        <v>39</v>
      </c>
      <c r="G1922" t="s">
        <v>3236</v>
      </c>
      <c r="H1922" t="str">
        <f>"00500468"</f>
        <v>00500468</v>
      </c>
      <c r="I1922">
        <v>726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30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Y1922">
        <v>0</v>
      </c>
      <c r="Z1922">
        <v>756</v>
      </c>
    </row>
    <row r="1923" spans="1:26" x14ac:dyDescent="0.25">
      <c r="H1923" t="s">
        <v>3237</v>
      </c>
    </row>
    <row r="1924" spans="1:26" x14ac:dyDescent="0.25">
      <c r="A1924">
        <v>959</v>
      </c>
      <c r="C1924">
        <v>10583</v>
      </c>
      <c r="D1924" t="s">
        <v>3238</v>
      </c>
      <c r="E1924" t="s">
        <v>90</v>
      </c>
      <c r="F1924" t="s">
        <v>39</v>
      </c>
      <c r="G1924" t="s">
        <v>3239</v>
      </c>
      <c r="H1924" t="str">
        <f>"201511041010"</f>
        <v>201511041010</v>
      </c>
      <c r="I1924">
        <v>726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30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Y1924">
        <v>0</v>
      </c>
      <c r="Z1924">
        <v>756</v>
      </c>
    </row>
    <row r="1925" spans="1:26" x14ac:dyDescent="0.25">
      <c r="H1925" t="s">
        <v>3240</v>
      </c>
    </row>
    <row r="1926" spans="1:26" x14ac:dyDescent="0.25">
      <c r="A1926">
        <v>960</v>
      </c>
      <c r="C1926">
        <v>2073</v>
      </c>
      <c r="D1926" t="s">
        <v>3241</v>
      </c>
      <c r="E1926" t="s">
        <v>84</v>
      </c>
      <c r="F1926" t="s">
        <v>51</v>
      </c>
      <c r="G1926" t="s">
        <v>3242</v>
      </c>
      <c r="H1926" t="str">
        <f>"00502909"</f>
        <v>00502909</v>
      </c>
      <c r="I1926">
        <v>726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30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Y1926">
        <v>1</v>
      </c>
      <c r="Z1926">
        <v>756</v>
      </c>
    </row>
    <row r="1927" spans="1:26" x14ac:dyDescent="0.25">
      <c r="H1927" t="s">
        <v>3243</v>
      </c>
    </row>
    <row r="1928" spans="1:26" x14ac:dyDescent="0.25">
      <c r="A1928">
        <v>961</v>
      </c>
      <c r="C1928">
        <v>7107</v>
      </c>
      <c r="D1928" t="s">
        <v>3244</v>
      </c>
      <c r="E1928" t="s">
        <v>193</v>
      </c>
      <c r="F1928" t="s">
        <v>16</v>
      </c>
      <c r="G1928" t="s">
        <v>3245</v>
      </c>
      <c r="H1928" t="str">
        <f>"00032460"</f>
        <v>00032460</v>
      </c>
      <c r="I1928">
        <v>755.7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Y1928">
        <v>2</v>
      </c>
      <c r="Z1928">
        <v>755.7</v>
      </c>
    </row>
    <row r="1929" spans="1:26" x14ac:dyDescent="0.25">
      <c r="H1929" t="s">
        <v>3246</v>
      </c>
    </row>
    <row r="1930" spans="1:26" x14ac:dyDescent="0.25">
      <c r="A1930">
        <v>962</v>
      </c>
      <c r="C1930">
        <v>7123</v>
      </c>
      <c r="D1930" t="s">
        <v>3247</v>
      </c>
      <c r="E1930" t="s">
        <v>112</v>
      </c>
      <c r="F1930" t="s">
        <v>148</v>
      </c>
      <c r="G1930" t="s">
        <v>3248</v>
      </c>
      <c r="H1930" t="str">
        <f>"00720493"</f>
        <v>00720493</v>
      </c>
      <c r="I1930">
        <v>755.7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Y1930">
        <v>2</v>
      </c>
      <c r="Z1930">
        <v>755.7</v>
      </c>
    </row>
    <row r="1931" spans="1:26" x14ac:dyDescent="0.25">
      <c r="H1931" t="s">
        <v>3249</v>
      </c>
    </row>
    <row r="1932" spans="1:26" x14ac:dyDescent="0.25">
      <c r="A1932">
        <v>963</v>
      </c>
      <c r="C1932">
        <v>7119</v>
      </c>
      <c r="D1932" t="s">
        <v>3250</v>
      </c>
      <c r="E1932" t="s">
        <v>73</v>
      </c>
      <c r="F1932" t="s">
        <v>39</v>
      </c>
      <c r="G1932" t="s">
        <v>3251</v>
      </c>
      <c r="H1932" t="str">
        <f>"201511010287"</f>
        <v>201511010287</v>
      </c>
      <c r="I1932">
        <v>724.9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30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Y1932">
        <v>0</v>
      </c>
      <c r="Z1932">
        <v>754.9</v>
      </c>
    </row>
    <row r="1933" spans="1:26" x14ac:dyDescent="0.25">
      <c r="H1933" t="s">
        <v>3252</v>
      </c>
    </row>
    <row r="1934" spans="1:26" x14ac:dyDescent="0.25">
      <c r="A1934">
        <v>964</v>
      </c>
      <c r="C1934">
        <v>5203</v>
      </c>
      <c r="D1934" t="s">
        <v>3253</v>
      </c>
      <c r="E1934" t="s">
        <v>1943</v>
      </c>
      <c r="F1934" t="s">
        <v>90</v>
      </c>
      <c r="G1934" t="s">
        <v>3254</v>
      </c>
      <c r="H1934" t="str">
        <f>"201511006755"</f>
        <v>201511006755</v>
      </c>
      <c r="I1934">
        <v>724.9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30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Y1934">
        <v>0</v>
      </c>
      <c r="Z1934">
        <v>754.9</v>
      </c>
    </row>
    <row r="1935" spans="1:26" x14ac:dyDescent="0.25">
      <c r="H1935" t="s">
        <v>3255</v>
      </c>
    </row>
    <row r="1936" spans="1:26" x14ac:dyDescent="0.25">
      <c r="A1936">
        <v>965</v>
      </c>
      <c r="C1936">
        <v>8949</v>
      </c>
      <c r="D1936" t="s">
        <v>3256</v>
      </c>
      <c r="E1936" t="s">
        <v>3257</v>
      </c>
      <c r="F1936" t="s">
        <v>204</v>
      </c>
      <c r="G1936" t="s">
        <v>3258</v>
      </c>
      <c r="H1936" t="str">
        <f>"00682969"</f>
        <v>00682969</v>
      </c>
      <c r="I1936">
        <v>754.6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Y1936">
        <v>0</v>
      </c>
      <c r="Z1936">
        <v>754.6</v>
      </c>
    </row>
    <row r="1937" spans="1:26" x14ac:dyDescent="0.25">
      <c r="H1937" t="s">
        <v>3259</v>
      </c>
    </row>
    <row r="1938" spans="1:26" x14ac:dyDescent="0.25">
      <c r="A1938">
        <v>966</v>
      </c>
      <c r="C1938">
        <v>1607</v>
      </c>
      <c r="D1938" t="s">
        <v>1078</v>
      </c>
      <c r="E1938" t="s">
        <v>38</v>
      </c>
      <c r="F1938" t="s">
        <v>73</v>
      </c>
      <c r="G1938" t="s">
        <v>3260</v>
      </c>
      <c r="H1938" t="str">
        <f>"201103000185"</f>
        <v>201103000185</v>
      </c>
      <c r="I1938">
        <v>754.6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Y1938">
        <v>0</v>
      </c>
      <c r="Z1938">
        <v>754.6</v>
      </c>
    </row>
    <row r="1939" spans="1:26" x14ac:dyDescent="0.25">
      <c r="H1939" t="s">
        <v>3261</v>
      </c>
    </row>
    <row r="1940" spans="1:26" x14ac:dyDescent="0.25">
      <c r="A1940">
        <v>967</v>
      </c>
      <c r="C1940">
        <v>16140</v>
      </c>
      <c r="D1940" t="s">
        <v>3262</v>
      </c>
      <c r="E1940" t="s">
        <v>50</v>
      </c>
      <c r="F1940" t="s">
        <v>2378</v>
      </c>
      <c r="G1940" t="s">
        <v>3263</v>
      </c>
      <c r="H1940" t="str">
        <f>"201510001085"</f>
        <v>201510001085</v>
      </c>
      <c r="I1940">
        <v>754.6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Y1940">
        <v>0</v>
      </c>
      <c r="Z1940">
        <v>754.6</v>
      </c>
    </row>
    <row r="1941" spans="1:26" x14ac:dyDescent="0.25">
      <c r="H1941" t="s">
        <v>3264</v>
      </c>
    </row>
    <row r="1942" spans="1:26" x14ac:dyDescent="0.25">
      <c r="A1942">
        <v>968</v>
      </c>
      <c r="B1942" t="s">
        <v>87</v>
      </c>
      <c r="C1942">
        <v>3019</v>
      </c>
      <c r="D1942" t="s">
        <v>3265</v>
      </c>
      <c r="E1942" t="s">
        <v>98</v>
      </c>
      <c r="F1942" t="s">
        <v>194</v>
      </c>
      <c r="G1942" t="s">
        <v>3266</v>
      </c>
      <c r="H1942" t="str">
        <f>"00036705"</f>
        <v>00036705</v>
      </c>
      <c r="I1942">
        <v>754.6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Y1942">
        <v>1</v>
      </c>
      <c r="Z1942">
        <v>754.6</v>
      </c>
    </row>
    <row r="1943" spans="1:26" x14ac:dyDescent="0.25">
      <c r="H1943" t="s">
        <v>3267</v>
      </c>
    </row>
    <row r="1944" spans="1:26" x14ac:dyDescent="0.25">
      <c r="A1944">
        <v>969</v>
      </c>
      <c r="C1944">
        <v>11593</v>
      </c>
      <c r="D1944" t="s">
        <v>3268</v>
      </c>
      <c r="E1944" t="s">
        <v>3269</v>
      </c>
      <c r="F1944" t="s">
        <v>73</v>
      </c>
      <c r="G1944" t="s">
        <v>3270</v>
      </c>
      <c r="H1944" t="str">
        <f>"201511036637"</f>
        <v>201511036637</v>
      </c>
      <c r="I1944">
        <v>754.6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Y1944">
        <v>0</v>
      </c>
      <c r="Z1944">
        <v>754.6</v>
      </c>
    </row>
    <row r="1945" spans="1:26" x14ac:dyDescent="0.25">
      <c r="H1945" t="s">
        <v>3271</v>
      </c>
    </row>
    <row r="1946" spans="1:26" x14ac:dyDescent="0.25">
      <c r="A1946">
        <v>970</v>
      </c>
      <c r="C1946">
        <v>6445</v>
      </c>
      <c r="D1946" t="s">
        <v>3272</v>
      </c>
      <c r="E1946" t="s">
        <v>3067</v>
      </c>
      <c r="F1946" t="s">
        <v>204</v>
      </c>
      <c r="G1946" t="s">
        <v>3273</v>
      </c>
      <c r="H1946" t="str">
        <f>"00027714"</f>
        <v>00027714</v>
      </c>
      <c r="I1946">
        <v>723.8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30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Y1946">
        <v>0</v>
      </c>
      <c r="Z1946">
        <v>753.8</v>
      </c>
    </row>
    <row r="1947" spans="1:26" x14ac:dyDescent="0.25">
      <c r="H1947" t="s">
        <v>3274</v>
      </c>
    </row>
    <row r="1948" spans="1:26" x14ac:dyDescent="0.25">
      <c r="A1948">
        <v>971</v>
      </c>
      <c r="C1948">
        <v>602</v>
      </c>
      <c r="D1948" t="s">
        <v>3275</v>
      </c>
      <c r="E1948" t="s">
        <v>2350</v>
      </c>
      <c r="F1948" t="s">
        <v>3276</v>
      </c>
      <c r="G1948" t="s">
        <v>3277</v>
      </c>
      <c r="H1948" t="str">
        <f>"00003071"</f>
        <v>00003071</v>
      </c>
      <c r="I1948">
        <v>753.5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Y1948">
        <v>0</v>
      </c>
      <c r="Z1948">
        <v>753.5</v>
      </c>
    </row>
    <row r="1949" spans="1:26" x14ac:dyDescent="0.25">
      <c r="H1949" t="s">
        <v>3278</v>
      </c>
    </row>
    <row r="1950" spans="1:26" x14ac:dyDescent="0.25">
      <c r="A1950">
        <v>972</v>
      </c>
      <c r="C1950">
        <v>374</v>
      </c>
      <c r="D1950" t="s">
        <v>3061</v>
      </c>
      <c r="E1950" t="s">
        <v>235</v>
      </c>
      <c r="F1950" t="s">
        <v>148</v>
      </c>
      <c r="G1950" t="s">
        <v>3279</v>
      </c>
      <c r="H1950" t="str">
        <f>"201511036951"</f>
        <v>201511036951</v>
      </c>
      <c r="I1950">
        <v>753.5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Y1950">
        <v>0</v>
      </c>
      <c r="Z1950">
        <v>753.5</v>
      </c>
    </row>
    <row r="1951" spans="1:26" x14ac:dyDescent="0.25">
      <c r="H1951" t="s">
        <v>3280</v>
      </c>
    </row>
    <row r="1952" spans="1:26" x14ac:dyDescent="0.25">
      <c r="A1952">
        <v>973</v>
      </c>
      <c r="C1952">
        <v>2373</v>
      </c>
      <c r="D1952" t="s">
        <v>3281</v>
      </c>
      <c r="E1952" t="s">
        <v>3282</v>
      </c>
      <c r="F1952" t="s">
        <v>3283</v>
      </c>
      <c r="G1952" t="s">
        <v>3284</v>
      </c>
      <c r="H1952" t="str">
        <f>"00485919"</f>
        <v>00485919</v>
      </c>
      <c r="I1952">
        <v>753.5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Y1952">
        <v>1</v>
      </c>
      <c r="Z1952">
        <v>753.5</v>
      </c>
    </row>
    <row r="1953" spans="1:26" x14ac:dyDescent="0.25">
      <c r="H1953" t="s">
        <v>3285</v>
      </c>
    </row>
    <row r="1954" spans="1:26" x14ac:dyDescent="0.25">
      <c r="A1954">
        <v>974</v>
      </c>
      <c r="C1954">
        <v>11876</v>
      </c>
      <c r="D1954" t="s">
        <v>3286</v>
      </c>
      <c r="E1954" t="s">
        <v>318</v>
      </c>
      <c r="F1954" t="s">
        <v>73</v>
      </c>
      <c r="G1954" t="s">
        <v>3287</v>
      </c>
      <c r="H1954" t="str">
        <f>"201511011691"</f>
        <v>201511011691</v>
      </c>
      <c r="I1954">
        <v>721.6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30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Y1954">
        <v>0</v>
      </c>
      <c r="Z1954">
        <v>751.6</v>
      </c>
    </row>
    <row r="1955" spans="1:26" x14ac:dyDescent="0.25">
      <c r="H1955" t="s">
        <v>3288</v>
      </c>
    </row>
    <row r="1956" spans="1:26" x14ac:dyDescent="0.25">
      <c r="A1956">
        <v>975</v>
      </c>
      <c r="C1956">
        <v>9805</v>
      </c>
      <c r="D1956" t="s">
        <v>3289</v>
      </c>
      <c r="E1956" t="s">
        <v>365</v>
      </c>
      <c r="F1956" t="s">
        <v>199</v>
      </c>
      <c r="G1956" t="s">
        <v>3290</v>
      </c>
      <c r="H1956" t="str">
        <f>"00092546"</f>
        <v>00092546</v>
      </c>
      <c r="I1956">
        <v>721.6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30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Y1956">
        <v>0</v>
      </c>
      <c r="Z1956">
        <v>751.6</v>
      </c>
    </row>
    <row r="1957" spans="1:26" x14ac:dyDescent="0.25">
      <c r="H1957" t="s">
        <v>3291</v>
      </c>
    </row>
    <row r="1958" spans="1:26" x14ac:dyDescent="0.25">
      <c r="A1958">
        <v>976</v>
      </c>
      <c r="C1958">
        <v>11584</v>
      </c>
      <c r="D1958" t="s">
        <v>3292</v>
      </c>
      <c r="E1958" t="s">
        <v>2938</v>
      </c>
      <c r="F1958" t="s">
        <v>39</v>
      </c>
      <c r="G1958" t="s">
        <v>3293</v>
      </c>
      <c r="H1958" t="str">
        <f>"00547125"</f>
        <v>00547125</v>
      </c>
      <c r="I1958">
        <v>721.6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30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Y1958">
        <v>0</v>
      </c>
      <c r="Z1958">
        <v>751.6</v>
      </c>
    </row>
    <row r="1959" spans="1:26" x14ac:dyDescent="0.25">
      <c r="H1959" t="s">
        <v>3294</v>
      </c>
    </row>
    <row r="1960" spans="1:26" x14ac:dyDescent="0.25">
      <c r="A1960">
        <v>977</v>
      </c>
      <c r="C1960">
        <v>4639</v>
      </c>
      <c r="D1960" t="s">
        <v>3295</v>
      </c>
      <c r="E1960" t="s">
        <v>98</v>
      </c>
      <c r="F1960" t="s">
        <v>411</v>
      </c>
      <c r="G1960" t="s">
        <v>3296</v>
      </c>
      <c r="H1960" t="str">
        <f>"00678016"</f>
        <v>00678016</v>
      </c>
      <c r="I1960">
        <v>751.3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Y1960">
        <v>0</v>
      </c>
      <c r="Z1960">
        <v>751.3</v>
      </c>
    </row>
    <row r="1961" spans="1:26" x14ac:dyDescent="0.25">
      <c r="H1961" t="s">
        <v>3297</v>
      </c>
    </row>
    <row r="1962" spans="1:26" x14ac:dyDescent="0.25">
      <c r="A1962">
        <v>978</v>
      </c>
      <c r="C1962">
        <v>13988</v>
      </c>
      <c r="D1962" t="s">
        <v>1574</v>
      </c>
      <c r="E1962" t="s">
        <v>275</v>
      </c>
      <c r="F1962" t="s">
        <v>39</v>
      </c>
      <c r="G1962" t="s">
        <v>3298</v>
      </c>
      <c r="H1962" t="str">
        <f>"00469174"</f>
        <v>00469174</v>
      </c>
      <c r="I1962">
        <v>751.3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Y1962">
        <v>1</v>
      </c>
      <c r="Z1962">
        <v>751.3</v>
      </c>
    </row>
    <row r="1963" spans="1:26" x14ac:dyDescent="0.25">
      <c r="H1963" t="s">
        <v>3299</v>
      </c>
    </row>
    <row r="1964" spans="1:26" x14ac:dyDescent="0.25">
      <c r="A1964">
        <v>979</v>
      </c>
      <c r="C1964">
        <v>13714</v>
      </c>
      <c r="D1964" t="s">
        <v>421</v>
      </c>
      <c r="E1964" t="s">
        <v>1259</v>
      </c>
      <c r="F1964" t="s">
        <v>3300</v>
      </c>
      <c r="G1964" t="s">
        <v>3301</v>
      </c>
      <c r="H1964" t="str">
        <f>"00029556"</f>
        <v>00029556</v>
      </c>
      <c r="I1964">
        <v>750.2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Y1964">
        <v>0</v>
      </c>
      <c r="Z1964">
        <v>750.2</v>
      </c>
    </row>
    <row r="1965" spans="1:26" x14ac:dyDescent="0.25">
      <c r="H1965" t="s">
        <v>3302</v>
      </c>
    </row>
    <row r="1966" spans="1:26" x14ac:dyDescent="0.25">
      <c r="A1966">
        <v>980</v>
      </c>
      <c r="C1966">
        <v>1436</v>
      </c>
      <c r="D1966" t="s">
        <v>3303</v>
      </c>
      <c r="E1966" t="s">
        <v>56</v>
      </c>
      <c r="F1966" t="s">
        <v>39</v>
      </c>
      <c r="G1966">
        <v>375892</v>
      </c>
      <c r="H1966" t="str">
        <f>"00667725"</f>
        <v>00667725</v>
      </c>
      <c r="I1966">
        <v>750.2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0</v>
      </c>
      <c r="Y1966">
        <v>0</v>
      </c>
      <c r="Z1966">
        <v>750.2</v>
      </c>
    </row>
    <row r="1967" spans="1:26" x14ac:dyDescent="0.25">
      <c r="H1967" t="s">
        <v>3280</v>
      </c>
    </row>
    <row r="1968" spans="1:26" x14ac:dyDescent="0.25">
      <c r="A1968">
        <v>981</v>
      </c>
      <c r="C1968">
        <v>13808</v>
      </c>
      <c r="D1968" t="s">
        <v>3304</v>
      </c>
      <c r="E1968" t="s">
        <v>39</v>
      </c>
      <c r="F1968" t="s">
        <v>84</v>
      </c>
      <c r="G1968" t="s">
        <v>3305</v>
      </c>
      <c r="H1968" t="str">
        <f>"00156692"</f>
        <v>00156692</v>
      </c>
      <c r="I1968">
        <v>719.4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30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Y1968">
        <v>0</v>
      </c>
      <c r="Z1968">
        <v>749.4</v>
      </c>
    </row>
    <row r="1969" spans="1:26" x14ac:dyDescent="0.25">
      <c r="H1969" t="s">
        <v>3306</v>
      </c>
    </row>
    <row r="1970" spans="1:26" x14ac:dyDescent="0.25">
      <c r="A1970">
        <v>982</v>
      </c>
      <c r="C1970">
        <v>16470</v>
      </c>
      <c r="D1970" t="s">
        <v>3307</v>
      </c>
      <c r="E1970" t="s">
        <v>415</v>
      </c>
      <c r="F1970" t="s">
        <v>965</v>
      </c>
      <c r="G1970" t="s">
        <v>3308</v>
      </c>
      <c r="H1970" t="str">
        <f>"00502511"</f>
        <v>00502511</v>
      </c>
      <c r="I1970">
        <v>719.4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30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Y1970">
        <v>0</v>
      </c>
      <c r="Z1970">
        <v>749.4</v>
      </c>
    </row>
    <row r="1971" spans="1:26" x14ac:dyDescent="0.25">
      <c r="H1971" t="s">
        <v>3309</v>
      </c>
    </row>
    <row r="1972" spans="1:26" x14ac:dyDescent="0.25">
      <c r="A1972">
        <v>983</v>
      </c>
      <c r="C1972">
        <v>14226</v>
      </c>
      <c r="D1972" t="s">
        <v>3310</v>
      </c>
      <c r="E1972" t="s">
        <v>1560</v>
      </c>
      <c r="F1972" t="s">
        <v>16</v>
      </c>
      <c r="G1972" t="s">
        <v>3311</v>
      </c>
      <c r="H1972" t="str">
        <f>"00019437"</f>
        <v>00019437</v>
      </c>
      <c r="I1972">
        <v>749.1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Y1972">
        <v>0</v>
      </c>
      <c r="Z1972">
        <v>749.1</v>
      </c>
    </row>
    <row r="1973" spans="1:26" x14ac:dyDescent="0.25">
      <c r="H1973" t="s">
        <v>3312</v>
      </c>
    </row>
    <row r="1974" spans="1:26" x14ac:dyDescent="0.25">
      <c r="A1974">
        <v>984</v>
      </c>
      <c r="C1974">
        <v>2136</v>
      </c>
      <c r="D1974" t="s">
        <v>3313</v>
      </c>
      <c r="E1974" t="s">
        <v>178</v>
      </c>
      <c r="F1974" t="s">
        <v>113</v>
      </c>
      <c r="G1974" t="s">
        <v>3314</v>
      </c>
      <c r="H1974" t="str">
        <f>"00119425"</f>
        <v>00119425</v>
      </c>
      <c r="I1974">
        <v>717.2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30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Y1974">
        <v>0</v>
      </c>
      <c r="Z1974">
        <v>747.2</v>
      </c>
    </row>
    <row r="1975" spans="1:26" x14ac:dyDescent="0.25">
      <c r="H1975" t="s">
        <v>3315</v>
      </c>
    </row>
    <row r="1976" spans="1:26" x14ac:dyDescent="0.25">
      <c r="A1976">
        <v>985</v>
      </c>
      <c r="C1976">
        <v>2765</v>
      </c>
      <c r="D1976" t="s">
        <v>3316</v>
      </c>
      <c r="E1976" t="s">
        <v>73</v>
      </c>
      <c r="F1976" t="s">
        <v>39</v>
      </c>
      <c r="G1976" t="s">
        <v>3317</v>
      </c>
      <c r="H1976" t="str">
        <f>"201511009596"</f>
        <v>201511009596</v>
      </c>
      <c r="I1976">
        <v>746.9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Y1976">
        <v>0</v>
      </c>
      <c r="Z1976">
        <v>746.9</v>
      </c>
    </row>
    <row r="1977" spans="1:26" x14ac:dyDescent="0.25">
      <c r="H1977" t="s">
        <v>3318</v>
      </c>
    </row>
    <row r="1978" spans="1:26" x14ac:dyDescent="0.25">
      <c r="A1978">
        <v>986</v>
      </c>
      <c r="C1978">
        <v>1722</v>
      </c>
      <c r="D1978" t="s">
        <v>3319</v>
      </c>
      <c r="E1978" t="s">
        <v>571</v>
      </c>
      <c r="F1978" t="s">
        <v>194</v>
      </c>
      <c r="G1978" t="s">
        <v>3320</v>
      </c>
      <c r="H1978" t="str">
        <f>"201512000093"</f>
        <v>201512000093</v>
      </c>
      <c r="I1978">
        <v>746.9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Y1978">
        <v>0</v>
      </c>
      <c r="Z1978">
        <v>746.9</v>
      </c>
    </row>
    <row r="1979" spans="1:26" x14ac:dyDescent="0.25">
      <c r="H1979" t="s">
        <v>3321</v>
      </c>
    </row>
    <row r="1980" spans="1:26" x14ac:dyDescent="0.25">
      <c r="A1980">
        <v>987</v>
      </c>
      <c r="C1980">
        <v>6978</v>
      </c>
      <c r="D1980" t="s">
        <v>3322</v>
      </c>
      <c r="E1980" t="s">
        <v>3323</v>
      </c>
      <c r="F1980" t="s">
        <v>138</v>
      </c>
      <c r="G1980" t="s">
        <v>3324</v>
      </c>
      <c r="H1980" t="str">
        <f>"201511040857"</f>
        <v>201511040857</v>
      </c>
      <c r="I1980">
        <v>746.9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Y1980">
        <v>0</v>
      </c>
      <c r="Z1980">
        <v>746.9</v>
      </c>
    </row>
    <row r="1981" spans="1:26" x14ac:dyDescent="0.25">
      <c r="H1981" t="s">
        <v>3325</v>
      </c>
    </row>
    <row r="1982" spans="1:26" x14ac:dyDescent="0.25">
      <c r="A1982">
        <v>988</v>
      </c>
      <c r="C1982">
        <v>14143</v>
      </c>
      <c r="D1982" t="s">
        <v>3326</v>
      </c>
      <c r="E1982" t="s">
        <v>44</v>
      </c>
      <c r="F1982" t="s">
        <v>84</v>
      </c>
      <c r="G1982" t="s">
        <v>3327</v>
      </c>
      <c r="H1982" t="str">
        <f>"00036416"</f>
        <v>00036416</v>
      </c>
      <c r="I1982">
        <v>746.9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Y1982">
        <v>0</v>
      </c>
      <c r="Z1982">
        <v>746.9</v>
      </c>
    </row>
    <row r="1983" spans="1:26" x14ac:dyDescent="0.25">
      <c r="H1983" t="s">
        <v>3328</v>
      </c>
    </row>
    <row r="1984" spans="1:26" x14ac:dyDescent="0.25">
      <c r="A1984">
        <v>989</v>
      </c>
      <c r="C1984">
        <v>11004</v>
      </c>
      <c r="D1984" t="s">
        <v>3085</v>
      </c>
      <c r="E1984" t="s">
        <v>39</v>
      </c>
      <c r="F1984" t="s">
        <v>126</v>
      </c>
      <c r="G1984" t="s">
        <v>3329</v>
      </c>
      <c r="H1984" t="str">
        <f>"00494883"</f>
        <v>00494883</v>
      </c>
      <c r="I1984">
        <v>745.8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Y1984">
        <v>0</v>
      </c>
      <c r="Z1984">
        <v>745.8</v>
      </c>
    </row>
    <row r="1985" spans="1:26" x14ac:dyDescent="0.25">
      <c r="H1985" t="s">
        <v>3330</v>
      </c>
    </row>
    <row r="1986" spans="1:26" x14ac:dyDescent="0.25">
      <c r="A1986">
        <v>990</v>
      </c>
      <c r="C1986">
        <v>4759</v>
      </c>
      <c r="D1986" t="s">
        <v>1491</v>
      </c>
      <c r="E1986" t="s">
        <v>3331</v>
      </c>
      <c r="F1986" t="s">
        <v>39</v>
      </c>
      <c r="G1986" t="s">
        <v>3332</v>
      </c>
      <c r="H1986" t="str">
        <f>"201010000131"</f>
        <v>201010000131</v>
      </c>
      <c r="I1986">
        <v>715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30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Y1986">
        <v>0</v>
      </c>
      <c r="Z1986">
        <v>745</v>
      </c>
    </row>
    <row r="1987" spans="1:26" x14ac:dyDescent="0.25">
      <c r="H1987" t="s">
        <v>3333</v>
      </c>
    </row>
    <row r="1988" spans="1:26" x14ac:dyDescent="0.25">
      <c r="A1988">
        <v>991</v>
      </c>
      <c r="C1988">
        <v>2035</v>
      </c>
      <c r="D1988" t="s">
        <v>1920</v>
      </c>
      <c r="E1988" t="s">
        <v>1502</v>
      </c>
      <c r="F1988" t="s">
        <v>39</v>
      </c>
      <c r="G1988" t="s">
        <v>3334</v>
      </c>
      <c r="H1988" t="str">
        <f>"201511025633"</f>
        <v>201511025633</v>
      </c>
      <c r="I1988">
        <v>715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30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Y1988">
        <v>0</v>
      </c>
      <c r="Z1988">
        <v>745</v>
      </c>
    </row>
    <row r="1989" spans="1:26" x14ac:dyDescent="0.25">
      <c r="H1989" t="s">
        <v>3335</v>
      </c>
    </row>
    <row r="1990" spans="1:26" x14ac:dyDescent="0.25">
      <c r="A1990">
        <v>992</v>
      </c>
      <c r="C1990">
        <v>10530</v>
      </c>
      <c r="D1990" t="s">
        <v>3336</v>
      </c>
      <c r="E1990" t="s">
        <v>3337</v>
      </c>
      <c r="F1990" t="s">
        <v>39</v>
      </c>
      <c r="G1990" t="s">
        <v>3338</v>
      </c>
      <c r="H1990" t="str">
        <f>"00736583"</f>
        <v>00736583</v>
      </c>
      <c r="I1990">
        <v>744.7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Y1990">
        <v>0</v>
      </c>
      <c r="Z1990">
        <v>744.7</v>
      </c>
    </row>
    <row r="1991" spans="1:26" x14ac:dyDescent="0.25">
      <c r="H1991" t="s">
        <v>3339</v>
      </c>
    </row>
    <row r="1992" spans="1:26" x14ac:dyDescent="0.25">
      <c r="A1992">
        <v>993</v>
      </c>
      <c r="B1992" t="s">
        <v>1337</v>
      </c>
      <c r="C1992">
        <v>12434</v>
      </c>
      <c r="D1992" t="s">
        <v>3340</v>
      </c>
      <c r="E1992" t="s">
        <v>194</v>
      </c>
      <c r="F1992" t="s">
        <v>73</v>
      </c>
      <c r="G1992" t="s">
        <v>3341</v>
      </c>
      <c r="H1992" t="str">
        <f>"00562891"</f>
        <v>00562891</v>
      </c>
      <c r="I1992">
        <v>744.7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Y1992">
        <v>0</v>
      </c>
      <c r="Z1992">
        <v>744.7</v>
      </c>
    </row>
    <row r="1993" spans="1:26" x14ac:dyDescent="0.25">
      <c r="H1993" t="s">
        <v>3342</v>
      </c>
    </row>
    <row r="1994" spans="1:26" x14ac:dyDescent="0.25">
      <c r="A1994">
        <v>994</v>
      </c>
      <c r="C1994">
        <v>3853</v>
      </c>
      <c r="D1994" t="s">
        <v>3164</v>
      </c>
      <c r="E1994" t="s">
        <v>264</v>
      </c>
      <c r="F1994" t="s">
        <v>73</v>
      </c>
      <c r="G1994" t="s">
        <v>3343</v>
      </c>
      <c r="H1994" t="str">
        <f>"201511033098"</f>
        <v>201511033098</v>
      </c>
      <c r="I1994">
        <v>743.6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Y1994">
        <v>0</v>
      </c>
      <c r="Z1994">
        <v>743.6</v>
      </c>
    </row>
    <row r="1995" spans="1:26" x14ac:dyDescent="0.25">
      <c r="H1995" t="s">
        <v>3344</v>
      </c>
    </row>
    <row r="1996" spans="1:26" x14ac:dyDescent="0.25">
      <c r="A1996">
        <v>995</v>
      </c>
      <c r="C1996">
        <v>17195</v>
      </c>
      <c r="D1996" t="s">
        <v>736</v>
      </c>
      <c r="E1996" t="s">
        <v>3345</v>
      </c>
      <c r="F1996" t="s">
        <v>39</v>
      </c>
      <c r="G1996" t="s">
        <v>3346</v>
      </c>
      <c r="H1996" t="str">
        <f>"00505039"</f>
        <v>00505039</v>
      </c>
      <c r="I1996">
        <v>743.6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Y1996">
        <v>0</v>
      </c>
      <c r="Z1996">
        <v>743.6</v>
      </c>
    </row>
    <row r="1997" spans="1:26" x14ac:dyDescent="0.25">
      <c r="H1997" t="s">
        <v>3347</v>
      </c>
    </row>
    <row r="1998" spans="1:26" x14ac:dyDescent="0.25">
      <c r="A1998">
        <v>996</v>
      </c>
      <c r="C1998">
        <v>8620</v>
      </c>
      <c r="D1998" t="s">
        <v>2246</v>
      </c>
      <c r="E1998" t="s">
        <v>275</v>
      </c>
      <c r="F1998" t="s">
        <v>78</v>
      </c>
      <c r="G1998" t="s">
        <v>3348</v>
      </c>
      <c r="H1998" t="str">
        <f>"00502532"</f>
        <v>00502532</v>
      </c>
      <c r="I1998">
        <v>743.6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Y1998">
        <v>1</v>
      </c>
      <c r="Z1998">
        <v>743.6</v>
      </c>
    </row>
    <row r="1999" spans="1:26" x14ac:dyDescent="0.25">
      <c r="H1999" t="s">
        <v>3349</v>
      </c>
    </row>
    <row r="2000" spans="1:26" x14ac:dyDescent="0.25">
      <c r="A2000">
        <v>997</v>
      </c>
      <c r="C2000">
        <v>3954</v>
      </c>
      <c r="D2000" t="s">
        <v>3350</v>
      </c>
      <c r="E2000" t="s">
        <v>279</v>
      </c>
      <c r="F2000" t="s">
        <v>73</v>
      </c>
      <c r="G2000" t="s">
        <v>3351</v>
      </c>
      <c r="H2000" t="str">
        <f>"00675292"</f>
        <v>00675292</v>
      </c>
      <c r="I2000">
        <v>712.8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30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Y2000">
        <v>0</v>
      </c>
      <c r="Z2000">
        <v>742.8</v>
      </c>
    </row>
    <row r="2001" spans="1:26" x14ac:dyDescent="0.25">
      <c r="H2001" t="s">
        <v>3352</v>
      </c>
    </row>
    <row r="2002" spans="1:26" x14ac:dyDescent="0.25">
      <c r="A2002">
        <v>998</v>
      </c>
      <c r="C2002">
        <v>15253</v>
      </c>
      <c r="D2002" t="s">
        <v>3353</v>
      </c>
      <c r="E2002" t="s">
        <v>138</v>
      </c>
      <c r="F2002" t="s">
        <v>148</v>
      </c>
      <c r="G2002" t="s">
        <v>3354</v>
      </c>
      <c r="H2002" t="str">
        <f>"00689070"</f>
        <v>00689070</v>
      </c>
      <c r="I2002">
        <v>742.5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0</v>
      </c>
      <c r="Y2002">
        <v>0</v>
      </c>
      <c r="Z2002">
        <v>742.5</v>
      </c>
    </row>
    <row r="2003" spans="1:26" x14ac:dyDescent="0.25">
      <c r="H2003" t="s">
        <v>3355</v>
      </c>
    </row>
    <row r="2004" spans="1:26" x14ac:dyDescent="0.25">
      <c r="A2004">
        <v>999</v>
      </c>
      <c r="C2004">
        <v>9194</v>
      </c>
      <c r="D2004" t="s">
        <v>3356</v>
      </c>
      <c r="E2004" t="s">
        <v>108</v>
      </c>
      <c r="F2004" t="s">
        <v>73</v>
      </c>
      <c r="G2004" t="s">
        <v>3357</v>
      </c>
      <c r="H2004" t="str">
        <f>"201511038690"</f>
        <v>201511038690</v>
      </c>
      <c r="I2004">
        <v>741.4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Y2004">
        <v>0</v>
      </c>
      <c r="Z2004">
        <v>741.4</v>
      </c>
    </row>
    <row r="2005" spans="1:26" x14ac:dyDescent="0.25">
      <c r="H2005" t="s">
        <v>3358</v>
      </c>
    </row>
    <row r="2006" spans="1:26" x14ac:dyDescent="0.25">
      <c r="A2006">
        <v>1000</v>
      </c>
      <c r="C2006">
        <v>9486</v>
      </c>
      <c r="D2006" t="s">
        <v>3359</v>
      </c>
      <c r="E2006" t="s">
        <v>687</v>
      </c>
      <c r="F2006" t="s">
        <v>148</v>
      </c>
      <c r="G2006" t="s">
        <v>3360</v>
      </c>
      <c r="H2006" t="str">
        <f>"201511034522"</f>
        <v>201511034522</v>
      </c>
      <c r="I2006">
        <v>740.3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Y2006">
        <v>0</v>
      </c>
      <c r="Z2006">
        <v>740.3</v>
      </c>
    </row>
    <row r="2007" spans="1:26" x14ac:dyDescent="0.25">
      <c r="H2007" t="s">
        <v>3361</v>
      </c>
    </row>
    <row r="2008" spans="1:26" x14ac:dyDescent="0.25">
      <c r="A2008">
        <v>1001</v>
      </c>
      <c r="C2008">
        <v>11606</v>
      </c>
      <c r="D2008" t="s">
        <v>3362</v>
      </c>
      <c r="E2008" t="s">
        <v>3363</v>
      </c>
      <c r="F2008" t="s">
        <v>3364</v>
      </c>
      <c r="G2008" t="s">
        <v>3365</v>
      </c>
      <c r="H2008" t="str">
        <f>"201511008563"</f>
        <v>201511008563</v>
      </c>
      <c r="I2008">
        <v>740.3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Y2008">
        <v>0</v>
      </c>
      <c r="Z2008">
        <v>740.3</v>
      </c>
    </row>
    <row r="2009" spans="1:26" x14ac:dyDescent="0.25">
      <c r="H2009" t="s">
        <v>3366</v>
      </c>
    </row>
    <row r="2010" spans="1:26" x14ac:dyDescent="0.25">
      <c r="A2010">
        <v>1002</v>
      </c>
      <c r="C2010">
        <v>17585</v>
      </c>
      <c r="D2010" t="s">
        <v>634</v>
      </c>
      <c r="E2010" t="s">
        <v>89</v>
      </c>
      <c r="F2010" t="s">
        <v>39</v>
      </c>
      <c r="G2010" t="s">
        <v>3367</v>
      </c>
      <c r="H2010" t="str">
        <f>"00016415"</f>
        <v>00016415</v>
      </c>
      <c r="I2010">
        <v>739.2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Y2010">
        <v>0</v>
      </c>
      <c r="Z2010">
        <v>739.2</v>
      </c>
    </row>
    <row r="2011" spans="1:26" x14ac:dyDescent="0.25">
      <c r="H2011" t="s">
        <v>3368</v>
      </c>
    </row>
    <row r="2012" spans="1:26" x14ac:dyDescent="0.25">
      <c r="A2012">
        <v>1003</v>
      </c>
      <c r="C2012">
        <v>11021</v>
      </c>
      <c r="D2012" t="s">
        <v>3369</v>
      </c>
      <c r="E2012" t="s">
        <v>279</v>
      </c>
      <c r="F2012" t="s">
        <v>39</v>
      </c>
      <c r="G2012" t="s">
        <v>3370</v>
      </c>
      <c r="H2012" t="str">
        <f>"00224594"</f>
        <v>00224594</v>
      </c>
      <c r="I2012">
        <v>708.4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30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Y2012">
        <v>0</v>
      </c>
      <c r="Z2012">
        <v>738.4</v>
      </c>
    </row>
    <row r="2013" spans="1:26" x14ac:dyDescent="0.25">
      <c r="H2013" t="s">
        <v>3371</v>
      </c>
    </row>
    <row r="2014" spans="1:26" x14ac:dyDescent="0.25">
      <c r="A2014">
        <v>1004</v>
      </c>
      <c r="C2014">
        <v>14706</v>
      </c>
      <c r="D2014" t="s">
        <v>3372</v>
      </c>
      <c r="E2014" t="s">
        <v>2915</v>
      </c>
      <c r="F2014" t="s">
        <v>84</v>
      </c>
      <c r="G2014" t="s">
        <v>3373</v>
      </c>
      <c r="H2014" t="str">
        <f>"00541391"</f>
        <v>00541391</v>
      </c>
      <c r="I2014">
        <v>738.1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Y2014">
        <v>0</v>
      </c>
      <c r="Z2014">
        <v>738.1</v>
      </c>
    </row>
    <row r="2015" spans="1:26" x14ac:dyDescent="0.25">
      <c r="H2015" t="s">
        <v>3374</v>
      </c>
    </row>
    <row r="2016" spans="1:26" x14ac:dyDescent="0.25">
      <c r="A2016">
        <v>1005</v>
      </c>
      <c r="B2016" t="s">
        <v>3375</v>
      </c>
      <c r="C2016">
        <v>2679</v>
      </c>
      <c r="D2016" t="s">
        <v>3376</v>
      </c>
      <c r="E2016" t="s">
        <v>1677</v>
      </c>
      <c r="F2016" t="s">
        <v>829</v>
      </c>
      <c r="G2016" t="s">
        <v>3377</v>
      </c>
      <c r="H2016" t="str">
        <f>"00016092"</f>
        <v>00016092</v>
      </c>
      <c r="I2016">
        <v>738.1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Y2016">
        <v>0</v>
      </c>
      <c r="Z2016">
        <v>738.1</v>
      </c>
    </row>
    <row r="2017" spans="1:26" x14ac:dyDescent="0.25">
      <c r="H2017" t="s">
        <v>3378</v>
      </c>
    </row>
    <row r="2018" spans="1:26" x14ac:dyDescent="0.25">
      <c r="A2018">
        <v>1006</v>
      </c>
      <c r="C2018">
        <v>10653</v>
      </c>
      <c r="D2018" t="s">
        <v>1048</v>
      </c>
      <c r="E2018" t="s">
        <v>1155</v>
      </c>
      <c r="F2018" t="s">
        <v>456</v>
      </c>
      <c r="G2018" t="s">
        <v>3379</v>
      </c>
      <c r="H2018" t="str">
        <f>"201511043311"</f>
        <v>201511043311</v>
      </c>
      <c r="I2018">
        <v>737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Y2018">
        <v>1</v>
      </c>
      <c r="Z2018">
        <v>737</v>
      </c>
    </row>
    <row r="2019" spans="1:26" x14ac:dyDescent="0.25">
      <c r="H2019" t="s">
        <v>3380</v>
      </c>
    </row>
    <row r="2020" spans="1:26" x14ac:dyDescent="0.25">
      <c r="A2020">
        <v>1007</v>
      </c>
      <c r="C2020">
        <v>11489</v>
      </c>
      <c r="D2020" t="s">
        <v>787</v>
      </c>
      <c r="E2020" t="s">
        <v>248</v>
      </c>
      <c r="F2020" t="s">
        <v>16</v>
      </c>
      <c r="G2020" t="s">
        <v>3381</v>
      </c>
      <c r="H2020" t="str">
        <f>"00661389"</f>
        <v>00661389</v>
      </c>
      <c r="I2020">
        <v>737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Y2020">
        <v>0</v>
      </c>
      <c r="Z2020">
        <v>737</v>
      </c>
    </row>
    <row r="2021" spans="1:26" x14ac:dyDescent="0.25">
      <c r="H2021" t="s">
        <v>3382</v>
      </c>
    </row>
    <row r="2022" spans="1:26" x14ac:dyDescent="0.25">
      <c r="A2022">
        <v>1008</v>
      </c>
      <c r="C2022">
        <v>2029</v>
      </c>
      <c r="D2022" t="s">
        <v>3383</v>
      </c>
      <c r="E2022" t="s">
        <v>723</v>
      </c>
      <c r="F2022" t="s">
        <v>346</v>
      </c>
      <c r="G2022" t="s">
        <v>3384</v>
      </c>
      <c r="H2022" t="str">
        <f>"201511035600"</f>
        <v>201511035600</v>
      </c>
      <c r="I2022">
        <v>737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Y2022">
        <v>0</v>
      </c>
      <c r="Z2022">
        <v>737</v>
      </c>
    </row>
    <row r="2023" spans="1:26" x14ac:dyDescent="0.25">
      <c r="H2023" t="s">
        <v>3385</v>
      </c>
    </row>
    <row r="2024" spans="1:26" x14ac:dyDescent="0.25">
      <c r="A2024">
        <v>1009</v>
      </c>
      <c r="C2024">
        <v>14306</v>
      </c>
      <c r="D2024" t="s">
        <v>3386</v>
      </c>
      <c r="E2024" t="s">
        <v>148</v>
      </c>
      <c r="F2024" t="s">
        <v>51</v>
      </c>
      <c r="G2024" t="s">
        <v>3387</v>
      </c>
      <c r="H2024" t="str">
        <f>"201511043433"</f>
        <v>201511043433</v>
      </c>
      <c r="I2024">
        <v>706.2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30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Y2024">
        <v>0</v>
      </c>
      <c r="Z2024">
        <v>736.2</v>
      </c>
    </row>
    <row r="2025" spans="1:26" x14ac:dyDescent="0.25">
      <c r="H2025" t="s">
        <v>3388</v>
      </c>
    </row>
    <row r="2026" spans="1:26" x14ac:dyDescent="0.25">
      <c r="A2026">
        <v>1010</v>
      </c>
      <c r="C2026">
        <v>15487</v>
      </c>
      <c r="D2026" t="s">
        <v>3389</v>
      </c>
      <c r="E2026" t="s">
        <v>38</v>
      </c>
      <c r="F2026" t="s">
        <v>108</v>
      </c>
      <c r="G2026" t="s">
        <v>3390</v>
      </c>
      <c r="H2026" t="str">
        <f>"201511024631"</f>
        <v>201511024631</v>
      </c>
      <c r="I2026">
        <v>706.2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30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Y2026">
        <v>0</v>
      </c>
      <c r="Z2026">
        <v>736.2</v>
      </c>
    </row>
    <row r="2027" spans="1:26" x14ac:dyDescent="0.25">
      <c r="H2027" t="s">
        <v>3391</v>
      </c>
    </row>
    <row r="2028" spans="1:26" x14ac:dyDescent="0.25">
      <c r="A2028">
        <v>1011</v>
      </c>
      <c r="C2028">
        <v>1828</v>
      </c>
      <c r="D2028" t="s">
        <v>3392</v>
      </c>
      <c r="E2028" t="s">
        <v>3393</v>
      </c>
      <c r="F2028" t="s">
        <v>16</v>
      </c>
      <c r="G2028" t="s">
        <v>3394</v>
      </c>
      <c r="H2028" t="str">
        <f>"201511006557"</f>
        <v>201511006557</v>
      </c>
      <c r="I2028">
        <v>735.9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Y2028">
        <v>0</v>
      </c>
      <c r="Z2028">
        <v>735.9</v>
      </c>
    </row>
    <row r="2029" spans="1:26" x14ac:dyDescent="0.25">
      <c r="H2029" t="s">
        <v>3395</v>
      </c>
    </row>
    <row r="2030" spans="1:26" x14ac:dyDescent="0.25">
      <c r="A2030">
        <v>1012</v>
      </c>
      <c r="C2030">
        <v>5883</v>
      </c>
      <c r="D2030" t="s">
        <v>3396</v>
      </c>
      <c r="E2030" t="s">
        <v>415</v>
      </c>
      <c r="F2030" t="s">
        <v>133</v>
      </c>
      <c r="G2030" t="s">
        <v>3397</v>
      </c>
      <c r="H2030" t="str">
        <f>"00030601"</f>
        <v>00030601</v>
      </c>
      <c r="I2030">
        <v>735.9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Y2030">
        <v>1</v>
      </c>
      <c r="Z2030">
        <v>735.9</v>
      </c>
    </row>
    <row r="2031" spans="1:26" x14ac:dyDescent="0.25">
      <c r="H2031" t="s">
        <v>3398</v>
      </c>
    </row>
    <row r="2032" spans="1:26" x14ac:dyDescent="0.25">
      <c r="A2032">
        <v>1013</v>
      </c>
      <c r="C2032">
        <v>13338</v>
      </c>
      <c r="D2032" t="s">
        <v>3399</v>
      </c>
      <c r="E2032" t="s">
        <v>178</v>
      </c>
      <c r="F2032" t="s">
        <v>199</v>
      </c>
      <c r="G2032" t="s">
        <v>3400</v>
      </c>
      <c r="H2032" t="str">
        <f>"201508000114"</f>
        <v>201508000114</v>
      </c>
      <c r="I2032">
        <v>734.8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Y2032">
        <v>0</v>
      </c>
      <c r="Z2032">
        <v>734.8</v>
      </c>
    </row>
    <row r="2033" spans="1:26" x14ac:dyDescent="0.25">
      <c r="H2033" t="s">
        <v>3401</v>
      </c>
    </row>
    <row r="2034" spans="1:26" x14ac:dyDescent="0.25">
      <c r="A2034">
        <v>1014</v>
      </c>
      <c r="C2034">
        <v>13533</v>
      </c>
      <c r="D2034" t="s">
        <v>3402</v>
      </c>
      <c r="E2034" t="s">
        <v>882</v>
      </c>
      <c r="F2034" t="s">
        <v>133</v>
      </c>
      <c r="G2034" t="s">
        <v>3403</v>
      </c>
      <c r="H2034" t="str">
        <f>"00631044"</f>
        <v>00631044</v>
      </c>
      <c r="I2034">
        <v>702.9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30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Y2034">
        <v>0</v>
      </c>
      <c r="Z2034">
        <v>732.9</v>
      </c>
    </row>
    <row r="2035" spans="1:26" x14ac:dyDescent="0.25">
      <c r="H2035" t="s">
        <v>3404</v>
      </c>
    </row>
    <row r="2036" spans="1:26" x14ac:dyDescent="0.25">
      <c r="A2036">
        <v>1015</v>
      </c>
      <c r="C2036">
        <v>6547</v>
      </c>
      <c r="D2036" t="s">
        <v>3405</v>
      </c>
      <c r="E2036" t="s">
        <v>547</v>
      </c>
      <c r="F2036" t="s">
        <v>3406</v>
      </c>
      <c r="G2036" t="s">
        <v>3407</v>
      </c>
      <c r="H2036" t="str">
        <f>"201510004803"</f>
        <v>201510004803</v>
      </c>
      <c r="I2036">
        <v>701.8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Y2036">
        <v>1</v>
      </c>
      <c r="Z2036">
        <v>731.8</v>
      </c>
    </row>
    <row r="2037" spans="1:26" x14ac:dyDescent="0.25">
      <c r="H2037" t="s">
        <v>3408</v>
      </c>
    </row>
    <row r="2038" spans="1:26" x14ac:dyDescent="0.25">
      <c r="A2038">
        <v>1016</v>
      </c>
      <c r="C2038">
        <v>8381</v>
      </c>
      <c r="D2038" t="s">
        <v>3409</v>
      </c>
      <c r="E2038" t="s">
        <v>39</v>
      </c>
      <c r="F2038" t="s">
        <v>3410</v>
      </c>
      <c r="G2038" t="s">
        <v>3411</v>
      </c>
      <c r="H2038" t="str">
        <f>"201511011144"</f>
        <v>201511011144</v>
      </c>
      <c r="I2038">
        <v>731.5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Y2038">
        <v>0</v>
      </c>
      <c r="Z2038">
        <v>731.5</v>
      </c>
    </row>
    <row r="2039" spans="1:26" x14ac:dyDescent="0.25">
      <c r="H2039" t="s">
        <v>3412</v>
      </c>
    </row>
    <row r="2040" spans="1:26" x14ac:dyDescent="0.25">
      <c r="A2040">
        <v>1017</v>
      </c>
      <c r="C2040">
        <v>7383</v>
      </c>
      <c r="D2040" t="s">
        <v>3413</v>
      </c>
      <c r="E2040" t="s">
        <v>38</v>
      </c>
      <c r="F2040" t="s">
        <v>122</v>
      </c>
      <c r="G2040" t="s">
        <v>3414</v>
      </c>
      <c r="H2040" t="str">
        <f>"00497125"</f>
        <v>00497125</v>
      </c>
      <c r="I2040">
        <v>731.5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Y2040">
        <v>0</v>
      </c>
      <c r="Z2040">
        <v>731.5</v>
      </c>
    </row>
    <row r="2041" spans="1:26" x14ac:dyDescent="0.25">
      <c r="H2041" t="s">
        <v>3415</v>
      </c>
    </row>
    <row r="2042" spans="1:26" x14ac:dyDescent="0.25">
      <c r="A2042">
        <v>1018</v>
      </c>
      <c r="C2042">
        <v>3482</v>
      </c>
      <c r="D2042" t="s">
        <v>3416</v>
      </c>
      <c r="E2042" t="s">
        <v>3417</v>
      </c>
      <c r="F2042" t="s">
        <v>90</v>
      </c>
      <c r="G2042" t="s">
        <v>3418</v>
      </c>
      <c r="H2042" t="str">
        <f>"00723456"</f>
        <v>00723456</v>
      </c>
      <c r="I2042">
        <v>731.5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Y2042">
        <v>1</v>
      </c>
      <c r="Z2042">
        <v>731.5</v>
      </c>
    </row>
    <row r="2043" spans="1:26" x14ac:dyDescent="0.25">
      <c r="H2043" t="s">
        <v>3419</v>
      </c>
    </row>
    <row r="2044" spans="1:26" x14ac:dyDescent="0.25">
      <c r="A2044">
        <v>1019</v>
      </c>
      <c r="C2044">
        <v>7909</v>
      </c>
      <c r="D2044" t="s">
        <v>3420</v>
      </c>
      <c r="E2044" t="s">
        <v>39</v>
      </c>
      <c r="F2044" t="s">
        <v>354</v>
      </c>
      <c r="G2044" t="s">
        <v>3421</v>
      </c>
      <c r="H2044" t="str">
        <f>"00046118"</f>
        <v>00046118</v>
      </c>
      <c r="I2044">
        <v>730.4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Y2044">
        <v>0</v>
      </c>
      <c r="Z2044">
        <v>730.4</v>
      </c>
    </row>
    <row r="2045" spans="1:26" x14ac:dyDescent="0.25">
      <c r="H2045" t="s">
        <v>3422</v>
      </c>
    </row>
    <row r="2046" spans="1:26" x14ac:dyDescent="0.25">
      <c r="A2046">
        <v>1020</v>
      </c>
      <c r="C2046">
        <v>15871</v>
      </c>
      <c r="D2046" t="s">
        <v>3423</v>
      </c>
      <c r="E2046" t="s">
        <v>2465</v>
      </c>
      <c r="F2046" t="s">
        <v>39</v>
      </c>
      <c r="G2046" t="s">
        <v>3424</v>
      </c>
      <c r="H2046" t="str">
        <f>"00341284"</f>
        <v>00341284</v>
      </c>
      <c r="I2046">
        <v>729.3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Y2046">
        <v>2</v>
      </c>
      <c r="Z2046">
        <v>729.3</v>
      </c>
    </row>
    <row r="2047" spans="1:26" x14ac:dyDescent="0.25">
      <c r="H2047" t="s">
        <v>3425</v>
      </c>
    </row>
    <row r="2048" spans="1:26" x14ac:dyDescent="0.25">
      <c r="A2048">
        <v>1021</v>
      </c>
      <c r="C2048">
        <v>544</v>
      </c>
      <c r="D2048" t="s">
        <v>3426</v>
      </c>
      <c r="E2048" t="s">
        <v>3427</v>
      </c>
      <c r="F2048" t="s">
        <v>127</v>
      </c>
      <c r="G2048" t="s">
        <v>3428</v>
      </c>
      <c r="H2048" t="str">
        <f>"00486733"</f>
        <v>00486733</v>
      </c>
      <c r="I2048">
        <v>697.4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30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Y2048">
        <v>0</v>
      </c>
      <c r="Z2048">
        <v>727.4</v>
      </c>
    </row>
    <row r="2049" spans="1:26" x14ac:dyDescent="0.25">
      <c r="H2049" t="s">
        <v>3429</v>
      </c>
    </row>
    <row r="2050" spans="1:26" x14ac:dyDescent="0.25">
      <c r="A2050">
        <v>1022</v>
      </c>
      <c r="C2050">
        <v>5514</v>
      </c>
      <c r="D2050" t="s">
        <v>3430</v>
      </c>
      <c r="E2050" t="s">
        <v>902</v>
      </c>
      <c r="F2050" t="s">
        <v>268</v>
      </c>
      <c r="G2050" t="s">
        <v>3431</v>
      </c>
      <c r="H2050" t="str">
        <f>"201511042502"</f>
        <v>201511042502</v>
      </c>
      <c r="I2050">
        <v>727.1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Y2050">
        <v>0</v>
      </c>
      <c r="Z2050">
        <v>727.1</v>
      </c>
    </row>
    <row r="2051" spans="1:26" x14ac:dyDescent="0.25">
      <c r="H2051" t="s">
        <v>3432</v>
      </c>
    </row>
    <row r="2052" spans="1:26" x14ac:dyDescent="0.25">
      <c r="A2052">
        <v>1023</v>
      </c>
      <c r="C2052">
        <v>5622</v>
      </c>
      <c r="D2052" t="s">
        <v>3433</v>
      </c>
      <c r="E2052" t="s">
        <v>112</v>
      </c>
      <c r="F2052" t="s">
        <v>342</v>
      </c>
      <c r="G2052" t="s">
        <v>3434</v>
      </c>
      <c r="H2052" t="str">
        <f>"00079048"</f>
        <v>00079048</v>
      </c>
      <c r="I2052">
        <v>727.1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Y2052">
        <v>0</v>
      </c>
      <c r="Z2052">
        <v>727.1</v>
      </c>
    </row>
    <row r="2053" spans="1:26" x14ac:dyDescent="0.25">
      <c r="H2053" t="s">
        <v>3435</v>
      </c>
    </row>
    <row r="2054" spans="1:26" x14ac:dyDescent="0.25">
      <c r="A2054">
        <v>1024</v>
      </c>
      <c r="C2054">
        <v>14753</v>
      </c>
      <c r="D2054" t="s">
        <v>3436</v>
      </c>
      <c r="E2054" t="s">
        <v>248</v>
      </c>
      <c r="F2054" t="s">
        <v>73</v>
      </c>
      <c r="G2054" t="s">
        <v>3437</v>
      </c>
      <c r="H2054" t="str">
        <f>"201511031857"</f>
        <v>201511031857</v>
      </c>
      <c r="I2054">
        <v>727.1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Y2054">
        <v>0</v>
      </c>
      <c r="Z2054">
        <v>727.1</v>
      </c>
    </row>
    <row r="2055" spans="1:26" x14ac:dyDescent="0.25">
      <c r="H2055" t="s">
        <v>3438</v>
      </c>
    </row>
    <row r="2056" spans="1:26" x14ac:dyDescent="0.25">
      <c r="A2056">
        <v>1025</v>
      </c>
      <c r="C2056">
        <v>6563</v>
      </c>
      <c r="D2056" t="s">
        <v>780</v>
      </c>
      <c r="E2056" t="s">
        <v>78</v>
      </c>
      <c r="F2056" t="s">
        <v>73</v>
      </c>
      <c r="G2056" t="s">
        <v>3439</v>
      </c>
      <c r="H2056" t="str">
        <f>"201511011004"</f>
        <v>201511011004</v>
      </c>
      <c r="I2056">
        <v>726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Y2056">
        <v>0</v>
      </c>
      <c r="Z2056">
        <v>726</v>
      </c>
    </row>
    <row r="2057" spans="1:26" x14ac:dyDescent="0.25">
      <c r="H2057" t="s">
        <v>3440</v>
      </c>
    </row>
    <row r="2058" spans="1:26" x14ac:dyDescent="0.25">
      <c r="A2058">
        <v>1026</v>
      </c>
      <c r="C2058">
        <v>10085</v>
      </c>
      <c r="D2058" t="s">
        <v>3441</v>
      </c>
      <c r="E2058" t="s">
        <v>1560</v>
      </c>
      <c r="F2058" t="s">
        <v>302</v>
      </c>
      <c r="G2058" t="s">
        <v>3442</v>
      </c>
      <c r="H2058" t="str">
        <f>"201511034313"</f>
        <v>201511034313</v>
      </c>
      <c r="I2058">
        <v>694.1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30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Y2058">
        <v>0</v>
      </c>
      <c r="Z2058">
        <v>724.1</v>
      </c>
    </row>
    <row r="2059" spans="1:26" x14ac:dyDescent="0.25">
      <c r="H2059" t="s">
        <v>3443</v>
      </c>
    </row>
    <row r="2060" spans="1:26" x14ac:dyDescent="0.25">
      <c r="A2060">
        <v>1027</v>
      </c>
      <c r="C2060">
        <v>15789</v>
      </c>
      <c r="D2060" t="s">
        <v>1181</v>
      </c>
      <c r="E2060" t="s">
        <v>338</v>
      </c>
      <c r="F2060" t="s">
        <v>45</v>
      </c>
      <c r="G2060" t="s">
        <v>3444</v>
      </c>
      <c r="H2060" t="str">
        <f>"00730822"</f>
        <v>00730822</v>
      </c>
      <c r="I2060">
        <v>723.8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Y2060">
        <v>0</v>
      </c>
      <c r="Z2060">
        <v>723.8</v>
      </c>
    </row>
    <row r="2061" spans="1:26" x14ac:dyDescent="0.25">
      <c r="H2061" t="s">
        <v>3445</v>
      </c>
    </row>
    <row r="2062" spans="1:26" x14ac:dyDescent="0.25">
      <c r="A2062">
        <v>1028</v>
      </c>
      <c r="C2062">
        <v>6888</v>
      </c>
      <c r="D2062" t="s">
        <v>3446</v>
      </c>
      <c r="E2062" t="s">
        <v>39</v>
      </c>
      <c r="F2062" t="s">
        <v>148</v>
      </c>
      <c r="G2062" t="s">
        <v>3447</v>
      </c>
      <c r="H2062" t="str">
        <f>"201511015421"</f>
        <v>201511015421</v>
      </c>
      <c r="I2062">
        <v>722.7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Y2062">
        <v>0</v>
      </c>
      <c r="Z2062">
        <v>722.7</v>
      </c>
    </row>
    <row r="2063" spans="1:26" x14ac:dyDescent="0.25">
      <c r="H2063" t="s">
        <v>3448</v>
      </c>
    </row>
    <row r="2064" spans="1:26" x14ac:dyDescent="0.25">
      <c r="A2064">
        <v>1029</v>
      </c>
      <c r="C2064">
        <v>17684</v>
      </c>
      <c r="D2064" t="s">
        <v>1131</v>
      </c>
      <c r="E2064" t="s">
        <v>248</v>
      </c>
      <c r="F2064" t="s">
        <v>194</v>
      </c>
      <c r="G2064" t="s">
        <v>3449</v>
      </c>
      <c r="H2064" t="str">
        <f>"00037232"</f>
        <v>00037232</v>
      </c>
      <c r="I2064">
        <v>722.7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Y2064">
        <v>0</v>
      </c>
      <c r="Z2064">
        <v>722.7</v>
      </c>
    </row>
    <row r="2065" spans="1:26" x14ac:dyDescent="0.25">
      <c r="H2065" t="s">
        <v>3450</v>
      </c>
    </row>
    <row r="2066" spans="1:26" x14ac:dyDescent="0.25">
      <c r="A2066">
        <v>1030</v>
      </c>
      <c r="C2066">
        <v>14985</v>
      </c>
      <c r="D2066" t="s">
        <v>3451</v>
      </c>
      <c r="E2066" t="s">
        <v>2048</v>
      </c>
      <c r="F2066" t="s">
        <v>90</v>
      </c>
      <c r="G2066" t="s">
        <v>3452</v>
      </c>
      <c r="H2066" t="str">
        <f>"201511040964"</f>
        <v>201511040964</v>
      </c>
      <c r="I2066">
        <v>691.9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30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Y2066">
        <v>0</v>
      </c>
      <c r="Z2066">
        <v>721.9</v>
      </c>
    </row>
    <row r="2067" spans="1:26" x14ac:dyDescent="0.25">
      <c r="H2067" t="s">
        <v>3453</v>
      </c>
    </row>
    <row r="2068" spans="1:26" x14ac:dyDescent="0.25">
      <c r="A2068">
        <v>1031</v>
      </c>
      <c r="C2068">
        <v>15568</v>
      </c>
      <c r="D2068" t="s">
        <v>3454</v>
      </c>
      <c r="E2068" t="s">
        <v>3455</v>
      </c>
      <c r="F2068" t="s">
        <v>673</v>
      </c>
      <c r="G2068" t="s">
        <v>3456</v>
      </c>
      <c r="H2068" t="str">
        <f>"00496229"</f>
        <v>00496229</v>
      </c>
      <c r="I2068">
        <v>719.4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Y2068">
        <v>0</v>
      </c>
      <c r="Z2068">
        <v>719.4</v>
      </c>
    </row>
    <row r="2069" spans="1:26" x14ac:dyDescent="0.25">
      <c r="H2069" t="s">
        <v>3457</v>
      </c>
    </row>
    <row r="2070" spans="1:26" x14ac:dyDescent="0.25">
      <c r="A2070">
        <v>1032</v>
      </c>
      <c r="C2070">
        <v>16677</v>
      </c>
      <c r="D2070" t="s">
        <v>3458</v>
      </c>
      <c r="E2070" t="s">
        <v>112</v>
      </c>
      <c r="F2070" t="s">
        <v>127</v>
      </c>
      <c r="G2070" t="s">
        <v>3459</v>
      </c>
      <c r="H2070" t="str">
        <f>"00320218"</f>
        <v>00320218</v>
      </c>
      <c r="I2070">
        <v>718.3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Y2070">
        <v>1</v>
      </c>
      <c r="Z2070">
        <v>718.3</v>
      </c>
    </row>
    <row r="2071" spans="1:26" x14ac:dyDescent="0.25">
      <c r="H2071" t="s">
        <v>3382</v>
      </c>
    </row>
    <row r="2072" spans="1:26" x14ac:dyDescent="0.25">
      <c r="A2072">
        <v>1033</v>
      </c>
      <c r="C2072">
        <v>4028</v>
      </c>
      <c r="D2072" t="s">
        <v>3460</v>
      </c>
      <c r="E2072" t="s">
        <v>56</v>
      </c>
      <c r="F2072" t="s">
        <v>204</v>
      </c>
      <c r="G2072" t="s">
        <v>3461</v>
      </c>
      <c r="H2072" t="str">
        <f>"00678777"</f>
        <v>00678777</v>
      </c>
      <c r="I2072">
        <v>715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Y2072">
        <v>0</v>
      </c>
      <c r="Z2072">
        <v>715</v>
      </c>
    </row>
    <row r="2073" spans="1:26" x14ac:dyDescent="0.25">
      <c r="H2073" t="s">
        <v>3462</v>
      </c>
    </row>
    <row r="2074" spans="1:26" x14ac:dyDescent="0.25">
      <c r="A2074">
        <v>1034</v>
      </c>
      <c r="C2074">
        <v>10082</v>
      </c>
      <c r="D2074" t="s">
        <v>3463</v>
      </c>
      <c r="E2074" t="s">
        <v>112</v>
      </c>
      <c r="F2074" t="s">
        <v>194</v>
      </c>
      <c r="G2074" t="s">
        <v>3464</v>
      </c>
      <c r="H2074" t="str">
        <f>"00679013"</f>
        <v>00679013</v>
      </c>
      <c r="I2074">
        <v>713.9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Y2074">
        <v>0</v>
      </c>
      <c r="Z2074">
        <v>713.9</v>
      </c>
    </row>
    <row r="2075" spans="1:26" x14ac:dyDescent="0.25">
      <c r="H2075" t="s">
        <v>3465</v>
      </c>
    </row>
    <row r="2076" spans="1:26" x14ac:dyDescent="0.25">
      <c r="A2076">
        <v>1035</v>
      </c>
      <c r="C2076">
        <v>9785</v>
      </c>
      <c r="D2076" t="s">
        <v>3466</v>
      </c>
      <c r="E2076" t="s">
        <v>415</v>
      </c>
      <c r="F2076" t="s">
        <v>73</v>
      </c>
      <c r="G2076" t="s">
        <v>3467</v>
      </c>
      <c r="H2076" t="str">
        <f>"00499503"</f>
        <v>00499503</v>
      </c>
      <c r="I2076">
        <v>713.9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Y2076">
        <v>0</v>
      </c>
      <c r="Z2076">
        <v>713.9</v>
      </c>
    </row>
    <row r="2077" spans="1:26" x14ac:dyDescent="0.25">
      <c r="H2077" t="s">
        <v>3468</v>
      </c>
    </row>
    <row r="2078" spans="1:26" x14ac:dyDescent="0.25">
      <c r="A2078">
        <v>1036</v>
      </c>
      <c r="C2078">
        <v>15579</v>
      </c>
      <c r="D2078" t="s">
        <v>3469</v>
      </c>
      <c r="E2078" t="s">
        <v>39</v>
      </c>
      <c r="F2078" t="s">
        <v>204</v>
      </c>
      <c r="G2078" t="s">
        <v>3470</v>
      </c>
      <c r="H2078" t="str">
        <f>"201511033338"</f>
        <v>201511033338</v>
      </c>
      <c r="I2078">
        <v>710.6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Y2078">
        <v>0</v>
      </c>
      <c r="Z2078">
        <v>710.6</v>
      </c>
    </row>
    <row r="2079" spans="1:26" x14ac:dyDescent="0.25">
      <c r="H2079" t="s">
        <v>3471</v>
      </c>
    </row>
    <row r="2080" spans="1:26" x14ac:dyDescent="0.25">
      <c r="A2080">
        <v>1037</v>
      </c>
      <c r="C2080">
        <v>12037</v>
      </c>
      <c r="D2080" t="s">
        <v>3472</v>
      </c>
      <c r="E2080" t="s">
        <v>264</v>
      </c>
      <c r="F2080" t="s">
        <v>138</v>
      </c>
      <c r="G2080" t="s">
        <v>3473</v>
      </c>
      <c r="H2080" t="str">
        <f>"201511041970"</f>
        <v>201511041970</v>
      </c>
      <c r="I2080">
        <v>709.5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W2080">
        <v>0</v>
      </c>
      <c r="Y2080">
        <v>0</v>
      </c>
      <c r="Z2080">
        <v>709.5</v>
      </c>
    </row>
    <row r="2081" spans="1:26" x14ac:dyDescent="0.25">
      <c r="H2081" t="s">
        <v>3474</v>
      </c>
    </row>
    <row r="2082" spans="1:26" x14ac:dyDescent="0.25">
      <c r="A2082">
        <v>1038</v>
      </c>
      <c r="C2082">
        <v>17428</v>
      </c>
      <c r="D2082" t="s">
        <v>3475</v>
      </c>
      <c r="E2082" t="s">
        <v>107</v>
      </c>
      <c r="F2082" t="s">
        <v>39</v>
      </c>
      <c r="G2082" t="s">
        <v>3476</v>
      </c>
      <c r="H2082" t="str">
        <f>"201511037522"</f>
        <v>201511037522</v>
      </c>
      <c r="I2082">
        <v>708.4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Y2082">
        <v>0</v>
      </c>
      <c r="Z2082">
        <v>708.4</v>
      </c>
    </row>
    <row r="2083" spans="1:26" x14ac:dyDescent="0.25">
      <c r="H2083" t="s">
        <v>3477</v>
      </c>
    </row>
    <row r="2084" spans="1:26" x14ac:dyDescent="0.25">
      <c r="A2084">
        <v>1039</v>
      </c>
      <c r="C2084">
        <v>5848</v>
      </c>
      <c r="D2084" t="s">
        <v>1215</v>
      </c>
      <c r="E2084" t="s">
        <v>112</v>
      </c>
      <c r="F2084" t="s">
        <v>78</v>
      </c>
      <c r="G2084" t="s">
        <v>3478</v>
      </c>
      <c r="H2084" t="str">
        <f>"201511030489"</f>
        <v>201511030489</v>
      </c>
      <c r="I2084">
        <v>708.4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Y2084">
        <v>0</v>
      </c>
      <c r="Z2084">
        <v>708.4</v>
      </c>
    </row>
    <row r="2085" spans="1:26" x14ac:dyDescent="0.25">
      <c r="H2085" t="s">
        <v>3479</v>
      </c>
    </row>
    <row r="2086" spans="1:26" x14ac:dyDescent="0.25">
      <c r="A2086">
        <v>1040</v>
      </c>
      <c r="C2086">
        <v>1737</v>
      </c>
      <c r="D2086" t="s">
        <v>3480</v>
      </c>
      <c r="E2086" t="s">
        <v>199</v>
      </c>
      <c r="F2086" t="s">
        <v>73</v>
      </c>
      <c r="G2086" t="s">
        <v>3481</v>
      </c>
      <c r="H2086" t="str">
        <f>"201512000094"</f>
        <v>201512000094</v>
      </c>
      <c r="I2086">
        <v>706.2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Y2086">
        <v>0</v>
      </c>
      <c r="Z2086">
        <v>706.2</v>
      </c>
    </row>
    <row r="2087" spans="1:26" x14ac:dyDescent="0.25">
      <c r="H2087" t="s">
        <v>3482</v>
      </c>
    </row>
    <row r="2088" spans="1:26" x14ac:dyDescent="0.25">
      <c r="A2088">
        <v>1041</v>
      </c>
      <c r="C2088">
        <v>12299</v>
      </c>
      <c r="D2088" t="s">
        <v>3483</v>
      </c>
      <c r="E2088" t="s">
        <v>290</v>
      </c>
      <c r="F2088" t="s">
        <v>84</v>
      </c>
      <c r="G2088" t="s">
        <v>3484</v>
      </c>
      <c r="H2088" t="str">
        <f>"00094843"</f>
        <v>00094843</v>
      </c>
      <c r="I2088">
        <v>704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Y2088">
        <v>0</v>
      </c>
      <c r="Z2088">
        <v>704</v>
      </c>
    </row>
    <row r="2089" spans="1:26" x14ac:dyDescent="0.25">
      <c r="H2089" t="s">
        <v>3485</v>
      </c>
    </row>
    <row r="2090" spans="1:26" x14ac:dyDescent="0.25">
      <c r="A2090">
        <v>1042</v>
      </c>
      <c r="C2090">
        <v>906</v>
      </c>
      <c r="D2090" t="s">
        <v>3486</v>
      </c>
      <c r="E2090" t="s">
        <v>399</v>
      </c>
      <c r="F2090" t="s">
        <v>51</v>
      </c>
      <c r="G2090" t="s">
        <v>3487</v>
      </c>
      <c r="H2090" t="str">
        <f>"201510003980"</f>
        <v>201510003980</v>
      </c>
      <c r="I2090">
        <v>704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Y2090">
        <v>0</v>
      </c>
      <c r="Z2090">
        <v>704</v>
      </c>
    </row>
    <row r="2091" spans="1:26" x14ac:dyDescent="0.25">
      <c r="H2091" t="s">
        <v>3488</v>
      </c>
    </row>
    <row r="2092" spans="1:26" x14ac:dyDescent="0.25">
      <c r="A2092">
        <v>1043</v>
      </c>
      <c r="C2092">
        <v>1870</v>
      </c>
      <c r="D2092" t="s">
        <v>3489</v>
      </c>
      <c r="E2092" t="s">
        <v>188</v>
      </c>
      <c r="F2092" t="s">
        <v>126</v>
      </c>
      <c r="G2092" t="s">
        <v>3490</v>
      </c>
      <c r="H2092" t="str">
        <f>"00489074"</f>
        <v>00489074</v>
      </c>
      <c r="I2092">
        <v>701.8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Y2092">
        <v>0</v>
      </c>
      <c r="Z2092">
        <v>701.8</v>
      </c>
    </row>
    <row r="2093" spans="1:26" x14ac:dyDescent="0.25">
      <c r="H2093" t="s">
        <v>3491</v>
      </c>
    </row>
    <row r="2094" spans="1:26" x14ac:dyDescent="0.25">
      <c r="A2094">
        <v>1044</v>
      </c>
      <c r="C2094">
        <v>7242</v>
      </c>
      <c r="D2094" t="s">
        <v>3492</v>
      </c>
      <c r="E2094" t="s">
        <v>3257</v>
      </c>
      <c r="F2094" t="s">
        <v>90</v>
      </c>
      <c r="G2094" t="s">
        <v>3493</v>
      </c>
      <c r="H2094" t="str">
        <f>"00557078"</f>
        <v>00557078</v>
      </c>
      <c r="I2094">
        <v>698.5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Y2094">
        <v>0</v>
      </c>
      <c r="Z2094">
        <v>698.5</v>
      </c>
    </row>
    <row r="2095" spans="1:26" x14ac:dyDescent="0.25">
      <c r="H2095" t="s">
        <v>3494</v>
      </c>
    </row>
    <row r="2096" spans="1:26" x14ac:dyDescent="0.25">
      <c r="A2096">
        <v>1045</v>
      </c>
      <c r="C2096">
        <v>10654</v>
      </c>
      <c r="D2096" t="s">
        <v>3495</v>
      </c>
      <c r="E2096" t="s">
        <v>2351</v>
      </c>
      <c r="F2096" t="s">
        <v>194</v>
      </c>
      <c r="G2096" t="s">
        <v>3496</v>
      </c>
      <c r="H2096" t="str">
        <f>"00541765"</f>
        <v>00541765</v>
      </c>
      <c r="I2096">
        <v>696.3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Y2096">
        <v>0</v>
      </c>
      <c r="Z2096">
        <v>696.3</v>
      </c>
    </row>
    <row r="2097" spans="1:26" x14ac:dyDescent="0.25">
      <c r="H2097" t="s">
        <v>3497</v>
      </c>
    </row>
    <row r="2098" spans="1:26" x14ac:dyDescent="0.25">
      <c r="A2098">
        <v>1046</v>
      </c>
      <c r="C2098">
        <v>2533</v>
      </c>
      <c r="D2098" t="s">
        <v>3498</v>
      </c>
      <c r="E2098" t="s">
        <v>51</v>
      </c>
      <c r="F2098" t="s">
        <v>3499</v>
      </c>
      <c r="G2098" t="s">
        <v>3500</v>
      </c>
      <c r="H2098" t="str">
        <f>"00315809"</f>
        <v>00315809</v>
      </c>
      <c r="I2098">
        <v>693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Y2098">
        <v>2</v>
      </c>
      <c r="Z2098">
        <v>693</v>
      </c>
    </row>
    <row r="2099" spans="1:26" x14ac:dyDescent="0.25">
      <c r="H2099" t="s">
        <v>3501</v>
      </c>
    </row>
    <row r="2100" spans="1:26" x14ac:dyDescent="0.25">
      <c r="A2100">
        <v>1047</v>
      </c>
      <c r="C2100">
        <v>9018</v>
      </c>
      <c r="D2100" t="s">
        <v>3502</v>
      </c>
      <c r="E2100" t="s">
        <v>208</v>
      </c>
      <c r="F2100" t="s">
        <v>51</v>
      </c>
      <c r="G2100" t="s">
        <v>3503</v>
      </c>
      <c r="H2100" t="str">
        <f>"201511030116"</f>
        <v>201511030116</v>
      </c>
      <c r="I2100">
        <v>683.1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Y2100">
        <v>0</v>
      </c>
      <c r="Z2100">
        <v>683.1</v>
      </c>
    </row>
    <row r="2101" spans="1:26" x14ac:dyDescent="0.25">
      <c r="H2101" t="s">
        <v>3504</v>
      </c>
    </row>
    <row r="2102" spans="1:26" x14ac:dyDescent="0.25">
      <c r="A2102">
        <v>1048</v>
      </c>
      <c r="C2102">
        <v>4792</v>
      </c>
      <c r="D2102" t="s">
        <v>3505</v>
      </c>
      <c r="E2102" t="s">
        <v>84</v>
      </c>
      <c r="F2102" t="s">
        <v>567</v>
      </c>
      <c r="G2102" t="s">
        <v>3506</v>
      </c>
      <c r="H2102" t="str">
        <f>"00078287"</f>
        <v>00078287</v>
      </c>
      <c r="I2102">
        <v>675.4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Y2102">
        <v>0</v>
      </c>
      <c r="Z2102">
        <v>675.4</v>
      </c>
    </row>
    <row r="2103" spans="1:26" x14ac:dyDescent="0.25">
      <c r="H2103" t="s">
        <v>3507</v>
      </c>
    </row>
    <row r="2104" spans="1:26" x14ac:dyDescent="0.25">
      <c r="A2104">
        <v>1049</v>
      </c>
      <c r="C2104">
        <v>15318</v>
      </c>
      <c r="D2104" t="s">
        <v>3508</v>
      </c>
      <c r="E2104" t="s">
        <v>488</v>
      </c>
      <c r="F2104" t="s">
        <v>127</v>
      </c>
      <c r="G2104" t="s">
        <v>3509</v>
      </c>
      <c r="H2104" t="str">
        <f>"201604005588"</f>
        <v>201604005588</v>
      </c>
      <c r="I2104">
        <v>672.1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Y2104">
        <v>0</v>
      </c>
      <c r="Z2104">
        <v>672.1</v>
      </c>
    </row>
    <row r="2105" spans="1:26" x14ac:dyDescent="0.25">
      <c r="H2105" t="s">
        <v>3510</v>
      </c>
    </row>
    <row r="2106" spans="1:26" x14ac:dyDescent="0.25">
      <c r="A2106">
        <v>1050</v>
      </c>
      <c r="C2106">
        <v>16507</v>
      </c>
      <c r="D2106" t="s">
        <v>3511</v>
      </c>
      <c r="E2106" t="s">
        <v>3512</v>
      </c>
      <c r="F2106" t="s">
        <v>1485</v>
      </c>
      <c r="G2106" t="s">
        <v>3513</v>
      </c>
      <c r="H2106" t="str">
        <f>"00491941"</f>
        <v>00491941</v>
      </c>
      <c r="I2106">
        <v>600.6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50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Y2106">
        <v>0</v>
      </c>
      <c r="Z2106">
        <v>650.6</v>
      </c>
    </row>
    <row r="2107" spans="1:26" x14ac:dyDescent="0.25">
      <c r="H2107" t="s">
        <v>3514</v>
      </c>
    </row>
    <row r="2109" spans="1:26" x14ac:dyDescent="0.25">
      <c r="A2109" t="s">
        <v>3515</v>
      </c>
    </row>
    <row r="2110" spans="1:26" x14ac:dyDescent="0.25">
      <c r="A2110" t="s">
        <v>3516</v>
      </c>
    </row>
    <row r="2111" spans="1:26" x14ac:dyDescent="0.25">
      <c r="A2111" t="s">
        <v>3517</v>
      </c>
    </row>
    <row r="2112" spans="1:26" x14ac:dyDescent="0.25">
      <c r="A2112" t="s">
        <v>3518</v>
      </c>
    </row>
    <row r="2113" spans="1:1" x14ac:dyDescent="0.25">
      <c r="A2113" t="s">
        <v>3519</v>
      </c>
    </row>
    <row r="2114" spans="1:1" x14ac:dyDescent="0.25">
      <c r="A2114" t="s">
        <v>3520</v>
      </c>
    </row>
    <row r="2115" spans="1:1" x14ac:dyDescent="0.25">
      <c r="A2115" t="s">
        <v>3521</v>
      </c>
    </row>
    <row r="2116" spans="1:1" x14ac:dyDescent="0.25">
      <c r="A2116" t="s">
        <v>3522</v>
      </c>
    </row>
    <row r="2117" spans="1:1" x14ac:dyDescent="0.25">
      <c r="A2117" t="s">
        <v>3523</v>
      </c>
    </row>
    <row r="2118" spans="1:1" x14ac:dyDescent="0.25">
      <c r="A2118" t="s">
        <v>3524</v>
      </c>
    </row>
    <row r="2119" spans="1:1" x14ac:dyDescent="0.25">
      <c r="A2119" t="s">
        <v>3525</v>
      </c>
    </row>
    <row r="2120" spans="1:1" x14ac:dyDescent="0.25">
      <c r="A2120" t="s">
        <v>3526</v>
      </c>
    </row>
    <row r="2121" spans="1:1" x14ac:dyDescent="0.25">
      <c r="A2121" t="s">
        <v>3527</v>
      </c>
    </row>
    <row r="2122" spans="1:1" x14ac:dyDescent="0.25">
      <c r="A2122" t="s">
        <v>3528</v>
      </c>
    </row>
    <row r="2123" spans="1:1" x14ac:dyDescent="0.25">
      <c r="A2123" t="s">
        <v>3529</v>
      </c>
    </row>
    <row r="2124" spans="1:1" x14ac:dyDescent="0.25">
      <c r="A2124" t="s">
        <v>3530</v>
      </c>
    </row>
    <row r="2125" spans="1:1" x14ac:dyDescent="0.25">
      <c r="A2125" t="s">
        <v>3531</v>
      </c>
    </row>
  </sheetData>
  <pageMargins left="0.7" right="0.7" top="0.75" bottom="0.75" header="0.3" footer="0.3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2_ΚΑΤ_ΤΕ ΝΟΣΗΛΕΥΤΙΚΗΣ (Θ.720-72</vt:lpstr>
      <vt:lpstr>ΨΥΧΩ 25 ΝΟΕΜΒΡΗ ΧΕ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Alexiou Konstantina</cp:lastModifiedBy>
  <cp:lastPrinted>2021-12-07T10:19:36Z</cp:lastPrinted>
  <dcterms:created xsi:type="dcterms:W3CDTF">2021-12-07T09:24:49Z</dcterms:created>
  <dcterms:modified xsi:type="dcterms:W3CDTF">2021-12-10T12:22:48Z</dcterms:modified>
</cp:coreProperties>
</file>